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omments1.xml" ContentType="application/vnd.openxmlformats-officedocument.spreadsheetml.comments+xml"/>
  <Override PartName="/xl/customProperty9.bin" ContentType="application/vnd.openxmlformats-officedocument.spreadsheetml.customProperty"/>
  <Override PartName="/xl/comments2.xml" ContentType="application/vnd.openxmlformats-officedocument.spreadsheetml.comments+xml"/>
  <Override PartName="/xl/customProperty10.bin" ContentType="application/vnd.openxmlformats-officedocument.spreadsheetml.customProperty"/>
  <Override PartName="/xl/comments3.xml" ContentType="application/vnd.openxmlformats-officedocument.spreadsheetml.comments+xml"/>
  <Override PartName="/xl/customProperty11.bin" ContentType="application/vnd.openxmlformats-officedocument.spreadsheetml.customProperty"/>
  <Override PartName="/xl/comments4.xml" ContentType="application/vnd.openxmlformats-officedocument.spreadsheetml.comments+xml"/>
  <Override PartName="/xl/customProperty12.bin" ContentType="application/vnd.openxmlformats-officedocument.spreadsheetml.customProperty"/>
  <Override PartName="/xl/comments5.xml" ContentType="application/vnd.openxmlformats-officedocument.spreadsheetml.comments+xml"/>
  <Override PartName="/xl/customProperty13.bin" ContentType="application/vnd.openxmlformats-officedocument.spreadsheetml.customProperty"/>
  <Override PartName="/xl/comments6.xml" ContentType="application/vnd.openxmlformats-officedocument.spreadsheetml.comments+xml"/>
  <Override PartName="/xl/customProperty14.bin" ContentType="application/vnd.openxmlformats-officedocument.spreadsheetml.customProperty"/>
  <Override PartName="/xl/comments7.xml" ContentType="application/vnd.openxmlformats-officedocument.spreadsheetml.comments+xml"/>
  <Override PartName="/xl/customProperty15.bin" ContentType="application/vnd.openxmlformats-officedocument.spreadsheetml.customProperty"/>
  <Override PartName="/xl/comments8.xml" ContentType="application/vnd.openxmlformats-officedocument.spreadsheetml.comments+xml"/>
  <Override PartName="/xl/customProperty16.bin" ContentType="application/vnd.openxmlformats-officedocument.spreadsheetml.customProperty"/>
  <Override PartName="/xl/comments9.xml" ContentType="application/vnd.openxmlformats-officedocument.spreadsheetml.comments+xml"/>
  <Override PartName="/xl/customProperty17.bin" ContentType="application/vnd.openxmlformats-officedocument.spreadsheetml.customProperty"/>
  <Override PartName="/xl/comments10.xml" ContentType="application/vnd.openxmlformats-officedocument.spreadsheetml.comments+xml"/>
  <Override PartName="/xl/customProperty18.bin" ContentType="application/vnd.openxmlformats-officedocument.spreadsheetml.customProperty"/>
  <Override PartName="/xl/comments11.xml" ContentType="application/vnd.openxmlformats-officedocument.spreadsheetml.comments+xml"/>
  <Override PartName="/xl/customProperty19.bin" ContentType="application/vnd.openxmlformats-officedocument.spreadsheetml.customProperty"/>
  <Override PartName="/xl/comments12.xml" ContentType="application/vnd.openxmlformats-officedocument.spreadsheetml.comments+xml"/>
  <Override PartName="/xl/customProperty20.bin" ContentType="application/vnd.openxmlformats-officedocument.spreadsheetml.customProperty"/>
  <Override PartName="/xl/comments13.xml" ContentType="application/vnd.openxmlformats-officedocument.spreadsheetml.comments+xml"/>
  <Override PartName="/xl/customProperty21.bin" ContentType="application/vnd.openxmlformats-officedocument.spreadsheetml.customProperty"/>
  <Override PartName="/xl/comments14.xml" ContentType="application/vnd.openxmlformats-officedocument.spreadsheetml.comments+xml"/>
  <Override PartName="/xl/customProperty22.bin" ContentType="application/vnd.openxmlformats-officedocument.spreadsheetml.customProperty"/>
  <Override PartName="/xl/comments15.xml" ContentType="application/vnd.openxmlformats-officedocument.spreadsheetml.comments+xml"/>
  <Override PartName="/xl/customProperty23.bin" ContentType="application/vnd.openxmlformats-officedocument.spreadsheetml.customProperty"/>
  <Override PartName="/xl/customProperty24.bin" ContentType="application/vnd.openxmlformats-officedocument.spreadsheetml.customProperty"/>
  <Override PartName="/xl/drawings/drawing1.xml" ContentType="application/vnd.openxmlformats-officedocument.drawing+xml"/>
  <Override PartName="/xl/comments16.xml" ContentType="application/vnd.openxmlformats-officedocument.spreadsheetml.comments+xml"/>
  <Override PartName="/xl/customProperty25.bin" ContentType="application/vnd.openxmlformats-officedocument.spreadsheetml.customProperty"/>
  <Override PartName="/xl/customProperty26.bin" ContentType="application/vnd.openxmlformats-officedocument.spreadsheetml.customProperty"/>
  <Override PartName="/xl/comments17.xml" ContentType="application/vnd.openxmlformats-officedocument.spreadsheetml.comments+xml"/>
  <Override PartName="/xl/customProperty27.bin" ContentType="application/vnd.openxmlformats-officedocument.spreadsheetml.customProperty"/>
  <Override PartName="/xl/drawings/drawing2.xml" ContentType="application/vnd.openxmlformats-officedocument.drawing+xml"/>
  <Override PartName="/xl/comments18.xml" ContentType="application/vnd.openxmlformats-officedocument.spreadsheetml.comments+xml"/>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omments19.xml" ContentType="application/vnd.openxmlformats-officedocument.spreadsheetml.comments+xml"/>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drawings/drawing3.xml" ContentType="application/vnd.openxmlformats-officedocument.drawing+xml"/>
  <Override PartName="/xl/customProperty36.bin" ContentType="application/vnd.openxmlformats-officedocument.spreadsheetml.customProperty"/>
  <Override PartName="/xl/drawings/drawing4.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585" yWindow="4515" windowWidth="7710" windowHeight="5310" tabRatio="866"/>
  </bookViews>
  <sheets>
    <sheet name="Contents" sheetId="1" r:id="rId1"/>
    <sheet name="Submission" sheetId="36" r:id="rId2"/>
    <sheet name="T.4" sheetId="8" r:id="rId3"/>
    <sheet name="T.5" sheetId="9" r:id="rId4"/>
    <sheet name="T.6" sheetId="10" r:id="rId5"/>
    <sheet name="A.1" sheetId="6" r:id="rId6"/>
    <sheet name="A.2" sheetId="7" r:id="rId7"/>
    <sheet name="B.1" sheetId="13" r:id="rId8"/>
    <sheet name="B.2" sheetId="14" r:id="rId9"/>
    <sheet name="B.3" sheetId="15" r:id="rId10"/>
    <sheet name="B.4" sheetId="16" r:id="rId11"/>
    <sheet name="B.5" sheetId="17" r:id="rId12"/>
    <sheet name="B.6" sheetId="18" r:id="rId13"/>
    <sheet name="B.7" sheetId="19" r:id="rId14"/>
    <sheet name="B.8" sheetId="20" r:id="rId15"/>
    <sheet name="C.1" sheetId="22" r:id="rId16"/>
    <sheet name="C.2" sheetId="21" r:id="rId17"/>
    <sheet name="D.1" sheetId="25" r:id="rId18"/>
    <sheet name="D.2" sheetId="26" r:id="rId19"/>
    <sheet name="D.3" sheetId="27" r:id="rId20"/>
    <sheet name="D.4" sheetId="28" r:id="rId21"/>
    <sheet name="D.5" sheetId="29" r:id="rId22"/>
    <sheet name="D.6" sheetId="30" r:id="rId23"/>
    <sheet name="E.1" sheetId="45" r:id="rId24"/>
    <sheet name="E.2" sheetId="32" r:id="rId25"/>
    <sheet name="PBR" sheetId="46" r:id="rId26"/>
    <sheet name="PBR.1" sheetId="47" r:id="rId27"/>
    <sheet name="WorkPaper" sheetId="35" r:id="rId28"/>
    <sheet name="Control" sheetId="4" r:id="rId29"/>
    <sheet name="Checklist" sheetId="40" r:id="rId30"/>
    <sheet name="WP-D.1" sheetId="31" r:id="rId31"/>
    <sheet name="WP-E.1" sheetId="33" r:id="rId32"/>
    <sheet name="WP-T.1" sheetId="11" r:id="rId33"/>
    <sheet name="Data Mart Inputs" sheetId="12" state="hidden" r:id="rId34"/>
    <sheet name="AES Hedge Positions" sheetId="23" r:id="rId35"/>
    <sheet name="Storage" sheetId="24" r:id="rId36"/>
    <sheet name="Holidays" sheetId="37" state="hidden" r:id="rId37"/>
    <sheet name="Rate Validation" sheetId="43" r:id="rId38"/>
    <sheet name="SAP Request Form " sheetId="44"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___W.O.R.K.B.O.O.K..C.O.N.T.E.N.T.S____">'[1]Workbook Contents'!$A$1</definedName>
    <definedName name="_Fill" localSheetId="25" hidden="1">#REF!</definedName>
    <definedName name="_Fill" localSheetId="26" hidden="1">#REF!</definedName>
    <definedName name="_Fill" hidden="1">#REF!</definedName>
    <definedName name="ACT_BEGIN_DATE">'[1]1. MAIN INPUTS'!$F$24</definedName>
    <definedName name="ACT_END_DATE">'[1]1. MAIN INPUTS'!$F$23</definedName>
    <definedName name="AREA" localSheetId="25">[2]Contents!#REF!</definedName>
    <definedName name="AREA" localSheetId="26">#REF!</definedName>
    <definedName name="AREA">#REF!</definedName>
    <definedName name="BORROW_TEX" localSheetId="25">#REF!</definedName>
    <definedName name="BORROW_TEX" localSheetId="26">#REF!</definedName>
    <definedName name="BORROW_TEX">#REF!</definedName>
    <definedName name="CarriageTran">'[1]gca T4'!$B$8:$E$98</definedName>
    <definedName name="CASE_CUR">'[1]1. MAIN INPUTS'!$Q$5</definedName>
    <definedName name="CASE_CURRENT">'[1]1. MAIN INPUTS'!$F$5</definedName>
    <definedName name="CASE_PRE">'[1]1. MAIN INPUTS'!$Q$19</definedName>
    <definedName name="CASE_PREVIOUS">'[1]1. MAIN INPUTS'!$J$5</definedName>
    <definedName name="CasePre">'[1]1. MAIN INPUTS'!$F$7</definedName>
    <definedName name="CASH_MON_LABEL">'[1]1. MAIN INPUTS'!$N$20</definedName>
    <definedName name="CASH_OUT_RP">[1]C.13!$A$1:$K$37</definedName>
    <definedName name="CASH_YEAR_LABEL">'[1]1. MAIN INPUTS'!$N$22</definedName>
    <definedName name="Cashout">'[3]Pipeline Cashout'!$A$9:$C$140</definedName>
    <definedName name="Cashouts">'[4]tbl Texas'!$A$8:$E$52</definedName>
    <definedName name="CF_Month_1" localSheetId="25">[5]Control!$B$14</definedName>
    <definedName name="CF_Month_1" localSheetId="26">[5]Control!$B$14</definedName>
    <definedName name="CF_Month_1">Control!$B$15</definedName>
    <definedName name="CF_Month_2" localSheetId="25">[5]Control!$B$15</definedName>
    <definedName name="CF_Month_2" localSheetId="26">[5]Control!$B$15</definedName>
    <definedName name="CF_Month_2">Control!$B$16</definedName>
    <definedName name="CF_Month_3" localSheetId="25">[5]Control!$B$16</definedName>
    <definedName name="CF_Month_3" localSheetId="26">[5]Control!$B$16</definedName>
    <definedName name="CF_Month_3">Control!$B$17</definedName>
    <definedName name="CF_SALES">[1]CF!$A$8:$C$97</definedName>
    <definedName name="CONT_2385">'[1]Cont. 2385'!$A$9:$T$10</definedName>
    <definedName name="CONT_2546">'[1]Cont. 2546'!$A$10:$T$13</definedName>
    <definedName name="CONT_2546.1">'[1]Cont. 2546.1'!$A$10:$T$13</definedName>
    <definedName name="CONT_2548">'[1]Cont. 2548'!$A$9:$T$12</definedName>
    <definedName name="CONT_2548.1">'[1]Cont. 2548.1'!$A$9:$T$12</definedName>
    <definedName name="CONT_2550">'[1]Cont. 2550'!$A$9:$T$12</definedName>
    <definedName name="CONT_2550.1">'[1]Cont. 2550.1'!$A$9:$T$12</definedName>
    <definedName name="CONT_2551">'[1]Cont. 2551'!$A$9:$T$12</definedName>
    <definedName name="CONT_2551.1">'[1]Cont. 2551.1'!$A$9:$T$12</definedName>
    <definedName name="CONT_3355">[1]Cont.3355!$A$9:$AF$12</definedName>
    <definedName name="CONT_3355.1">'[1]Cont. 3355.1'!$A$9:$AF$11</definedName>
    <definedName name="CONT_3770">'[1]Cont. 3770'!$A$9:$AF$10</definedName>
    <definedName name="CONT_3817">'[1]Cont. 3817'!$A$9:$AF$10</definedName>
    <definedName name="CONT_3819">'[1]Cont. 3819'!$A$9:$AF$10</definedName>
    <definedName name="CONT_NO210">'[1]Cont. NO210'!$A$9:$AF$10</definedName>
    <definedName name="CONT_NO340">'[1]Cont. NO340'!$A$9:$AF$10</definedName>
    <definedName name="CONT_NO410">'[1]Cont. NO435'!$A$9:$AF$10</definedName>
    <definedName name="Cont014573">'[1]Cont. 014573'!$A$10:$T$18</definedName>
    <definedName name="Cont9213">[1]Cont.9213!$A$9:$AF$10</definedName>
    <definedName name="content_rp" localSheetId="25">#REF!</definedName>
    <definedName name="content_rp" localSheetId="26">#REF!</definedName>
    <definedName name="content_rp">#REF!</definedName>
    <definedName name="CRIT_SALES_DB" localSheetId="25">#REF!</definedName>
    <definedName name="CRIT_SALES_DB" localSheetId="26">#REF!</definedName>
    <definedName name="CRIT_SALES_DB">#REF!</definedName>
    <definedName name="CRIT_STORAGE_DB" localSheetId="25">#REF!</definedName>
    <definedName name="CRIT_STORAGE_DB" localSheetId="26">#REF!</definedName>
    <definedName name="CRIT_STORAGE_DB">#REF!</definedName>
    <definedName name="CRIT_TRANS_DB" localSheetId="25">#REF!</definedName>
    <definedName name="CRIT_TRANS_DB">#REF!</definedName>
    <definedName name="Database_PBR_Savings">'WP-D.1'!$A$11:$D$129</definedName>
    <definedName name="DatabaseStats" localSheetId="25">#REF!</definedName>
    <definedName name="DatabaseStats" localSheetId="26">#REF!</definedName>
    <definedName name="DatabaseStats">#REF!</definedName>
    <definedName name="DatabaseUsd" localSheetId="25">#REF!</definedName>
    <definedName name="DatabaseUsd" localSheetId="26">#REF!</definedName>
    <definedName name="DatabaseUsd">#REF!</definedName>
    <definedName name="DATE_ACTUALS">'[1]1. MAIN INPUTS'!$F$23</definedName>
    <definedName name="DATE_CASHOUT">'[1]1. MAIN INPUTS'!$F$18</definedName>
    <definedName name="DATE_CASHOUT_ST">'[1]1. MAIN INPUTS'!$F$21</definedName>
    <definedName name="DATE_CASHOUTS">'[1]1. MAIN INPUTS'!$F$18</definedName>
    <definedName name="DATE_GCA">'[1]1. MAIN INPUTS'!$F$9</definedName>
    <definedName name="DATE_GCA_DAY">'[1]1. MAIN INPUTS'!$R$21</definedName>
    <definedName name="DATE_GCA_LABEL">'[1]1. MAIN INPUTS'!$F$11</definedName>
    <definedName name="DATE_GCA_MONTH">'[1]1. MAIN INPUTS'!$Q$21</definedName>
    <definedName name="DATE_GCA_YEAR">'[1]1. MAIN INPUTS'!$S$21</definedName>
    <definedName name="Date_Issued">'[1]1. MAIN INPUTS'!$F$1</definedName>
    <definedName name="DATE_MON_LABEL">'[1]1. MAIN INPUTS'!$Q$21</definedName>
    <definedName name="DATE_PREVIOUS">'[1]1. MAIN INPUTS'!$J$9</definedName>
    <definedName name="DATE_PROJECTION">'[1]1. MAIN INPUTS'!$F$27</definedName>
    <definedName name="DateEffective" localSheetId="25">[6]Macros!$D$9</definedName>
    <definedName name="DateEffective" localSheetId="26">[6]Macros!$D$9</definedName>
    <definedName name="DateEffective">[7]Macros!$D$9</definedName>
    <definedName name="DB_C\T3">'[1]gca T3'!$A$7:$E$11</definedName>
    <definedName name="DB_C\T4">'[1]gca T4'!$A$7:$E$11</definedName>
    <definedName name="DB_G1">'[1]gca G1'!$A$7:$K$11</definedName>
    <definedName name="DB_G2">'[1]gca G2'!$A$7:$K$11</definedName>
    <definedName name="DB_HLF\G1">'[1]gca G1 HLF'!$A$7:$L$11</definedName>
    <definedName name="DB_SALES" localSheetId="25">#REF!</definedName>
    <definedName name="DB_SALES" localSheetId="26">#REF!</definedName>
    <definedName name="DB_SALES">#REF!</definedName>
    <definedName name="DB_STORAGE" localSheetId="25">#REF!</definedName>
    <definedName name="DB_STORAGE" localSheetId="26">#REF!</definedName>
    <definedName name="DB_STORAGE">#REF!</definedName>
    <definedName name="DB_STORAGE_RP" localSheetId="25">#REF!</definedName>
    <definedName name="DB_STORAGE_RP" localSheetId="26">#REF!</definedName>
    <definedName name="DB_STORAGE_RP">#REF!</definedName>
    <definedName name="DB_T2\G1">'[1]gca T2 G1'!$A$7:$G$11</definedName>
    <definedName name="DB_T2\G2">'[1]gca T2 G2'!$A$7:$G$11</definedName>
    <definedName name="DB_T2\HLF">'[1]gca T2 G1 HLF'!$A$7:$H$11</definedName>
    <definedName name="DB_TRANSPORT" localSheetId="25">#REF!</definedName>
    <definedName name="DB_TRANSPORT" localSheetId="26">#REF!</definedName>
    <definedName name="DB_TRANSPORT">#REF!</definedName>
    <definedName name="DB_TRANSPORT_RP" localSheetId="25">#REF!</definedName>
    <definedName name="DB_TRANSPORT_RP" localSheetId="26">#REF!</definedName>
    <definedName name="DB_TRANSPORT_RP">#REF!</definedName>
    <definedName name="DEMAND_FIRM">[1]B.8!$H$19</definedName>
    <definedName name="DEMAND_HLF">[1]B.8!$J$19</definedName>
    <definedName name="DEMAND_INTER">[1]B.8!$I$19</definedName>
    <definedName name="DemandChargePerMdq">B.6!$F$42</definedName>
    <definedName name="DolFirm">'[1]gca G1'!$B$8:$K$94</definedName>
    <definedName name="DolInt">'[1]gca G2'!$B$8:$K$98</definedName>
    <definedName name="DolIntTran">'[1]gca T2 G2'!$B$8:$G$98</definedName>
    <definedName name="EffectiveDate" localSheetId="25">[8]Directions!$E$5</definedName>
    <definedName name="EffectiveDate" localSheetId="26">[5]Control!$B$4</definedName>
    <definedName name="EffectiveDate">Control!$B$4</definedName>
    <definedName name="EWACOG">'[8]Backup Page'!$J$17</definedName>
    <definedName name="EXHIBIT_A1_RP">[1]A.1!$A$1:$M$63</definedName>
    <definedName name="EXHIBIT_A2_RP">[1]A.2!$A$1:$M$33</definedName>
    <definedName name="EXHIBIT_A3_RP">[1]A.3!$A$1:$L$49</definedName>
    <definedName name="EXHIBIT_A4_RP">[1]A.4!$A$1:$L$26</definedName>
    <definedName name="EXHIBIT_A5_RP">[1]A.5!$A$1:$L$41</definedName>
    <definedName name="EXHIBIT_B1_RP">[1]B.1!$A$1:$K$77</definedName>
    <definedName name="EXHIBIT_B2_RP">[1]B.3!$A$1:$K$38</definedName>
    <definedName name="EXHIBIT_B3_RP">[1]B.4!$A$1:$K$56</definedName>
    <definedName name="EXHIBIT_B4_RP">[1]B.5!$A$1:$I$36</definedName>
    <definedName name="EXHIBIT_B5_RP">[1]B.6!$A$1:$J$48</definedName>
    <definedName name="EXHIBIT_B6_RP">[1]B.8!$A$1:$J$57</definedName>
    <definedName name="EXHIBIT_B7_RP">[1]B.9!$A$1:$J$51</definedName>
    <definedName name="EXHIBIT_B8_RP">[1]B.10!$A$1:$H$48</definedName>
    <definedName name="ExpectedCommodity">B.7!$G$49</definedName>
    <definedName name="FirmDemRefFactor" localSheetId="25">PBR!#REF!</definedName>
    <definedName name="FirmDemRefFactor" localSheetId="26">#REF!</definedName>
    <definedName name="FirmDemRefFactor">#REF!</definedName>
    <definedName name="FirmRefFactor" localSheetId="25">PBR!$G$38</definedName>
    <definedName name="FirmRefFactor" localSheetId="26">#REF!</definedName>
    <definedName name="FirmRefFactor">#REF!</definedName>
    <definedName name="FirstCell" localSheetId="25">#REF!</definedName>
    <definedName name="FirstCell" localSheetId="26">#REF!</definedName>
    <definedName name="FirstCell">#REF!</definedName>
    <definedName name="GCA\G2">'[1]gca G2'!$A$8:$K$16</definedName>
    <definedName name="GCA\LVS1">'[1]gca LVS1'!$B$8:$E$13</definedName>
    <definedName name="GCA\LVS2">'[1]gca LVS2'!$B$8:$F$13</definedName>
    <definedName name="GCA_CF_SALES">[1]CF!$B$8:$C$97</definedName>
    <definedName name="GCA_COMMODITY">[1]B.10!$G$50</definedName>
    <definedName name="GCA_DATE">'[1]1. MAIN INPUTS'!$F$9</definedName>
    <definedName name="GCA_DEM_FIRM">[1]B.8!$H$19</definedName>
    <definedName name="GCA_DEM_HLF_MDQ">[1]B.8!$F$57</definedName>
    <definedName name="GCA_DEM_INTER">[1]B.8!$I$19</definedName>
    <definedName name="GCA_DEMAND_FIRM">[1]B.8!$H$19</definedName>
    <definedName name="gca_effect_adate">'[1]1. MAIN INPUTS'!$F$12</definedName>
    <definedName name="GCA_EFFECTIVE">'[1]1. MAIN INPUTS'!$F$9</definedName>
    <definedName name="GCA_G1">'[1]gca G1'!$A$8:$Q$98</definedName>
    <definedName name="GCA_G1_HLF">'[1]gca G1 HLF'!$A$8:$S$98</definedName>
    <definedName name="GCA_G2">'[1]gca G2'!$A$8:$Q$98</definedName>
    <definedName name="gca_lvs1">'[1]gca LVS1'!$A$8:$E$88</definedName>
    <definedName name="GCA_LVS1_HLF">'[1]gca LVS1 HLF'!$A$8:$F$88</definedName>
    <definedName name="gca_lvs2">'[1]gca LVS2'!$A$8:$E$88</definedName>
    <definedName name="GCA_PBRRF">[1]PBRRF!$B$8:$C$52</definedName>
    <definedName name="GCA_REF_SALES">[1]R_Sales!$A$8:$K$108</definedName>
    <definedName name="GCA_REF_TRANSPORT">[1]R_Transport!$A$8:$K$108</definedName>
    <definedName name="GCA_T2_G1">'[1]gca T2 G1'!$A$8:$G$98</definedName>
    <definedName name="GCA_T2_G1_HLF">'[1]gca T2 G1 HLF'!$A$8:$H$98</definedName>
    <definedName name="GCA_T2_G2">'[1]gca T2 G2'!$A$8:$G$98</definedName>
    <definedName name="GCA_T3">'[1]gca T3'!$A$8:$E$98</definedName>
    <definedName name="gca_t4">'[1]gca T4'!$A$8:$E$98</definedName>
    <definedName name="GCA_TOP">[1]B.9!$G$17</definedName>
    <definedName name="GCA_TRANSITION">[1]B.9!$G$18</definedName>
    <definedName name="GCA_YEAR_LABEL">'[1]1. MAIN INPUTS'!$T$21</definedName>
    <definedName name="History">[8]History!$A$12:$N$145</definedName>
    <definedName name="HLF">'[1]gca G1 HLF'!$B$8:$L$98</definedName>
    <definedName name="int_rate" localSheetId="25">PBR!A1</definedName>
    <definedName name="int_rate" localSheetId="26">#REF!</definedName>
    <definedName name="int_rate">#REF!</definedName>
    <definedName name="InterDemRefFactor" localSheetId="25">PBR!#REF!</definedName>
    <definedName name="InterDemRefFactor" localSheetId="26">#REF!</definedName>
    <definedName name="InterDemRefFactor">#REF!</definedName>
    <definedName name="InterRefFactor" localSheetId="25">PBR!$G$40</definedName>
    <definedName name="InterRefFactor" localSheetId="26">#REF!</definedName>
    <definedName name="InterRefFactor">#REF!</definedName>
    <definedName name="LABEL_12MONTHS">'[1]1. MAIN INPUTS'!$S$23</definedName>
    <definedName name="LABEL_MONTH">'[1]1. MAIN INPUTS'!$S$23</definedName>
    <definedName name="LABEL_YEAR">'[1]1. MAIN INPUTS'!$T$23</definedName>
    <definedName name="LVS_COG" localSheetId="25">#REF!</definedName>
    <definedName name="LVS_COG" localSheetId="26">#REF!</definedName>
    <definedName name="LVS_COG">#REF!</definedName>
    <definedName name="LVS_COG_FINAL" localSheetId="25">#REF!</definedName>
    <definedName name="LVS_COG_FINAL" localSheetId="26">#REF!</definedName>
    <definedName name="LVS_COG_FINAL">#REF!</definedName>
    <definedName name="LVS_COG_PRELIM" localSheetId="25">#REF!</definedName>
    <definedName name="LVS_COG_PRELIM" localSheetId="26">#REF!</definedName>
    <definedName name="LVS_COG_PRELIM">#REF!</definedName>
    <definedName name="LVS_EFFECTIVE">'[1]1. MAIN INPUTS'!$J$18</definedName>
    <definedName name="LVS_HLF_NON_COMMODITY">'[1]gca T2 G1 HLF'!$B$8:$H$98</definedName>
    <definedName name="LVS_Non_Commodity">'[1]gca T2 G1'!$B$8:$G$98</definedName>
    <definedName name="LVS2_NON_COMMODITY">'[1]gca T2 G2'!$B$8:$G$98</definedName>
    <definedName name="MarketAdjusted">C.2!$O$32</definedName>
    <definedName name="MarketPrice">C.2!$O$25</definedName>
    <definedName name="MONTH_1">'[1]1. MAIN INPUTS'!$H$185</definedName>
    <definedName name="MONTH_10">'[1]1. MAIN INPUTS'!$H$194</definedName>
    <definedName name="MONTH_11">'[1]1. MAIN INPUTS'!$H$195</definedName>
    <definedName name="MONTH_12">'[1]1. MAIN INPUTS'!$H$196</definedName>
    <definedName name="MONTH_2">'[1]1. MAIN INPUTS'!$H$186</definedName>
    <definedName name="MONTH_3">'[1]1. MAIN INPUTS'!$H$187</definedName>
    <definedName name="MONTH_4">'[1]1. MAIN INPUTS'!$H$188</definedName>
    <definedName name="MONTH_5">'[1]1. MAIN INPUTS'!$H$189</definedName>
    <definedName name="MONTH_6">'[1]1. MAIN INPUTS'!$H$190</definedName>
    <definedName name="MONTH_7">'[1]1. MAIN INPUTS'!$H$191</definedName>
    <definedName name="MONTH_8">'[1]1. MAIN INPUTS'!$H$192</definedName>
    <definedName name="MONTH_9">'[1]1. MAIN INPUTS'!$H$193</definedName>
    <definedName name="MONTH_NO">'[1]1. MAIN INPUTS'!$Q$23</definedName>
    <definedName name="Month1" localSheetId="25">[5]Control!$B$18</definedName>
    <definedName name="Month1" localSheetId="26">[5]Control!$B$18</definedName>
    <definedName name="Month1">Control!$B$19</definedName>
    <definedName name="Month2" localSheetId="25">[5]Control!$B$19</definedName>
    <definedName name="Month2" localSheetId="26">[5]Control!$B$19</definedName>
    <definedName name="Month2">Control!$B$20</definedName>
    <definedName name="Month3" localSheetId="25">[5]Control!$B$20</definedName>
    <definedName name="Month3" localSheetId="26">[5]Control!$B$20</definedName>
    <definedName name="Month3">Control!$B$21</definedName>
    <definedName name="NA" localSheetId="25">'[9]Main Inputs'!$C$5</definedName>
    <definedName name="NA" localSheetId="26">'[9]Main Inputs'!$C$5</definedName>
    <definedName name="NA">'[10]Main Inputs'!$C$5</definedName>
    <definedName name="NumberTrueUp">'[8]Additional Backup'!$J$1</definedName>
    <definedName name="NymexMonth1">C.1!$E$25</definedName>
    <definedName name="NymexMonth2">C.1!$G$25</definedName>
    <definedName name="NymexMonth3">C.1!$I$25</definedName>
    <definedName name="OVERVIEW_RP" localSheetId="25">#REF!</definedName>
    <definedName name="OVERVIEW_RP" localSheetId="26">#REF!</definedName>
    <definedName name="OVERVIEW_RP">#REF!</definedName>
    <definedName name="PBRRF">[1]PBRRF!$A$8:$C$52</definedName>
    <definedName name="PriceCommodity">C.2!$O$27</definedName>
    <definedName name="PriceCommodityAdjusted">C.2!$O$34</definedName>
    <definedName name="_xlnm.Print_Area" localSheetId="5">A.1!$A$1:$K$63</definedName>
    <definedName name="_xlnm.Print_Area" localSheetId="6">A.2!$A$1:$K$22</definedName>
    <definedName name="_xlnm.Print_Area" localSheetId="7">B.1!$A$1:$J$61</definedName>
    <definedName name="_xlnm.Print_Area" localSheetId="8">B.2!$A$1:$I$38</definedName>
    <definedName name="_xlnm.Print_Area" localSheetId="9">B.3!$A$1:$I$50</definedName>
    <definedName name="_xlnm.Print_Area" localSheetId="10">B.4!$A$1:$J$35</definedName>
    <definedName name="_xlnm.Print_Area" localSheetId="11">B.5!$A$1:$J$32</definedName>
    <definedName name="_xlnm.Print_Area" localSheetId="12">B.6!$A$1:$I$37</definedName>
    <definedName name="_xlnm.Print_Area" localSheetId="13">B.7!$A$1:$H$49</definedName>
    <definedName name="_xlnm.Print_Area" localSheetId="14">B.8!$A$1:$G$23</definedName>
    <definedName name="_xlnm.Print_Area" localSheetId="15">C.1!$A$1:$I$33</definedName>
    <definedName name="_xlnm.Print_Area" localSheetId="16">C.2!$A$1:$P$58</definedName>
    <definedName name="_xlnm.Print_Area" localSheetId="29">Checklist!$A$1:$F$134</definedName>
    <definedName name="_xlnm.Print_Area" localSheetId="17">D.1!$A$1:$I$44</definedName>
    <definedName name="_xlnm.Print_Area" localSheetId="18">D.2!$A$1:$H$37</definedName>
    <definedName name="_xlnm.Print_Area" localSheetId="19">D.3!$A$1:$H$40</definedName>
    <definedName name="_xlnm.Print_Area" localSheetId="20">D.4!$A$1:$O$38</definedName>
    <definedName name="_xlnm.Print_Area" localSheetId="33">'Data Mart Inputs'!$A$1:$M$35</definedName>
    <definedName name="_xlnm.Print_Area" localSheetId="23">E.1!$A$1:$K$48</definedName>
    <definedName name="_xlnm.Print_Area" localSheetId="24">E.2!$A$1:$K$35</definedName>
    <definedName name="_xlnm.Print_Area" localSheetId="25">PBR!$A$1:$I$40</definedName>
    <definedName name="_xlnm.Print_Area" localSheetId="26">PBR.1!$A$1:$H$31</definedName>
    <definedName name="_xlnm.Print_Area" localSheetId="35">Storage!$A$1:$T$26</definedName>
    <definedName name="_xlnm.Print_Area" localSheetId="2">T.4!$B$1:$W$65</definedName>
    <definedName name="_xlnm.Print_Area" localSheetId="3">T.5!$B$1:$X$55</definedName>
    <definedName name="_xlnm.Print_Area" localSheetId="4">T.6!$B$1:$Y$54</definedName>
    <definedName name="_xlnm.Print_Area" localSheetId="30">'WP-D.1'!$A$1:$E$8</definedName>
    <definedName name="_xlnm.Print_Titles" localSheetId="29">Checklist!$15:$15</definedName>
    <definedName name="Print_Total" localSheetId="25">#REF!</definedName>
    <definedName name="Print_Total" localSheetId="26">#REF!</definedName>
    <definedName name="Print_Total">#REF!</definedName>
    <definedName name="rpt_Confidential">C.2!$A$4:$R$35</definedName>
    <definedName name="rpt_PublicDisclosure">C.2!$A$37:$R$58</definedName>
    <definedName name="SALES_DB" localSheetId="25">#REF!</definedName>
    <definedName name="SALES_DB" localSheetId="26">#REF!</definedName>
    <definedName name="SALES_DB">#REF!</definedName>
    <definedName name="SEASON">'[1]1. MAIN INPUTS'!$F$13</definedName>
    <definedName name="SecondEffectiveDate">'[8]Additional Backup'!$B$1</definedName>
    <definedName name="SecondTrueUp">'[8]Additional Backup'!$F$35</definedName>
    <definedName name="solver_eng" localSheetId="2" hidden="1">1</definedName>
    <definedName name="solver_neg" localSheetId="2" hidden="1">1</definedName>
    <definedName name="solver_num" localSheetId="2" hidden="1">0</definedName>
    <definedName name="solver_opt" localSheetId="2" hidden="1">T.4!$W$15</definedName>
    <definedName name="solver_typ" localSheetId="2" hidden="1">1</definedName>
    <definedName name="solver_val" localSheetId="2" hidden="1">0</definedName>
    <definedName name="solver_ver" localSheetId="2" hidden="1">3</definedName>
    <definedName name="StatusDraft">'[1]1. MAIN INPUTS'!$F$2</definedName>
    <definedName name="TABLE_SEASON">'[1]1. MAIN INPUTS'!$J$185:$K$196</definedName>
    <definedName name="TB_G1">'[1]G 1'!$A$8:$L$11</definedName>
    <definedName name="TB_G1\HLF">[1]G1_HLF!$A$8:$L$11</definedName>
    <definedName name="TB_G2">'[1]G 2'!$A$8:$L$10</definedName>
    <definedName name="TB_NNS_DEM_2">'[1]NNS demand'!$A$8:$I$48</definedName>
    <definedName name="TB_T2\G1">[1]T2_G1!$A$8:$L$33</definedName>
    <definedName name="TB_T2\G1\HLF">[1]T2_G1_HLF!$A$8:$L$31</definedName>
    <definedName name="TB_T2\G2">[1]T2_G2!$A$8:$L$31</definedName>
    <definedName name="TB_T3">[1]T3!$A$8:$L$32</definedName>
    <definedName name="TB_T4">[1]T4!$A$8:$L$32</definedName>
    <definedName name="tbl_Month" localSheetId="25">#REF!</definedName>
    <definedName name="tbl_Month" localSheetId="26">#REF!</definedName>
    <definedName name="tbl_Month">#REF!</definedName>
    <definedName name="tbl_Nymex" localSheetId="25">#REF!</definedName>
    <definedName name="tbl_Nymex" localSheetId="26">#REF!</definedName>
    <definedName name="tbl_Nymex">#REF!</definedName>
    <definedName name="tbl_TariffRevisions">'WP-T.1'!$A$5:$D$69</definedName>
    <definedName name="TEN_CASH">'[1]Ten Cash'!$A$9:$B$48</definedName>
    <definedName name="TEN_EST_PUR">'[1]Purchases Ten'!$A$10:$AC$101</definedName>
    <definedName name="TEN_FT_G">'[1]FT G'!$A$9:$P$19</definedName>
    <definedName name="TEN_FT_GS">'[1]FT GS'!$A$8:$V$19</definedName>
    <definedName name="ten_fta">'[1]FT A'!$A$9:$E$22</definedName>
    <definedName name="TEN_FTG">'[1]FT G'!$A$10:$P$27</definedName>
    <definedName name="TEN_FTG_COMMOD">'[1]FT G C'!$A$9:$L$25</definedName>
    <definedName name="TEN_FTG_DEMAND">'[1]FT G'!$A$10:$P$27</definedName>
    <definedName name="TEN_FTGS">'[1]FT GS'!$A$9:$V$29</definedName>
    <definedName name="ten_fuel">[1]Fuel_tenn!$A$10:$F$18</definedName>
    <definedName name="TEN_RES_FEE" localSheetId="25">#REF!</definedName>
    <definedName name="TEN_RES_FEE" localSheetId="26">#REF!</definedName>
    <definedName name="TEN_RES_FEE">#REF!</definedName>
    <definedName name="TEN_SS">'[1]S S'!$A$10:$L$22</definedName>
    <definedName name="TEN_STORAGE" localSheetId="25">#REF!</definedName>
    <definedName name="TEN_STORAGE" localSheetId="26">#REF!</definedName>
    <definedName name="TEN_STORAGE">#REF!</definedName>
    <definedName name="TEN_TRANSITION" localSheetId="25">#REF!</definedName>
    <definedName name="TEN_TRANSITION" localSheetId="26">#REF!</definedName>
    <definedName name="TEN_TRANSITION">#REF!</definedName>
    <definedName name="Tenn">[3]Tenn!$A$8:$F$22</definedName>
    <definedName name="test">'[1]gca G1'!$H$1:$I$2</definedName>
    <definedName name="tex_borrow" localSheetId="25">#REF!</definedName>
    <definedName name="tex_borrow" localSheetId="26">#REF!</definedName>
    <definedName name="tex_borrow">#REF!</definedName>
    <definedName name="TEX_CASH">'[1]Tex Cash'!$A$10:$B$136</definedName>
    <definedName name="TEX_EST_PUR">'[1]Purchases Tex'!$A$9:$T$100</definedName>
    <definedName name="TEX_FT_COMMOD">'[1]FT commodity'!$A$10:$AF$31</definedName>
    <definedName name="TEX_FT_DEMAND">'[1]FT demand'!$A$10:$AJ$36</definedName>
    <definedName name="TEX_FUEL">[1]Fuel!$A$10:$O$23</definedName>
    <definedName name="TEX_NNS_COMMOD">'[1]NNS commodity'!$A$9:$U$37</definedName>
    <definedName name="TEX_NNS_DEM">'[1]NNS demand'!$A$8:$AA$9</definedName>
    <definedName name="TEX_NNS_DEMAND">'[1]NNS demand'!$A$9:$AA$38</definedName>
    <definedName name="TEX_RES_FEE">'[1]Tex Res'!$A$8:$B$11</definedName>
    <definedName name="TEX_TRANSITION" localSheetId="25">'[2]Cont. T13687'!#REF!</definedName>
    <definedName name="TEX_TRANSITION" localSheetId="26">'[1]Cont. T13687'!#REF!</definedName>
    <definedName name="TEX_TRANSITION">'[1]Cont. T13687'!#REF!</definedName>
    <definedName name="Texas">[3]Texas!$A$7:$E$37</definedName>
    <definedName name="TexasGasNNS">C.2!$O$22</definedName>
    <definedName name="TexasGasNoticePayback" localSheetId="25">#REF!</definedName>
    <definedName name="TexasGasNoticePayback" localSheetId="26">#REF!</definedName>
    <definedName name="TexasGasNoticePayback">#REF!</definedName>
    <definedName name="TGX_2">[1]B.1!$B$11:$K$21</definedName>
    <definedName name="ThirdEffectiveDate">'[8]Additional Backup'!$B$39</definedName>
    <definedName name="ThirdTrueUp">'[8]Additional Backup'!$F$73</definedName>
    <definedName name="TrueUp">'[8]Backup Page'!$F$31</definedName>
    <definedName name="Trunkline">'[1]Trunk Res Fee'!$A$8:$Q$11</definedName>
    <definedName name="TrunklineCommodity">'[1]Trunk Rates'!$A$9:$F$23</definedName>
    <definedName name="TrunklineGas">'[1]7. Trunkline Gas'!$A$1</definedName>
    <definedName name="TrunklinePurchase">'[1]Purchases Trk'!$A$10:$D$90</definedName>
    <definedName name="TrunkRates">'[1]Trunk Rates'!$A$1</definedName>
    <definedName name="WKG_G1">'[1]G 1'!$B$9:$N$12</definedName>
    <definedName name="WKG_G1\HLF">[1]G1_HLF!$B$9:$N$12</definedName>
    <definedName name="WKG_G2">'[1]G 2'!$B$9:$N$11</definedName>
    <definedName name="WKG_LVS1">'[1]LVS 1'!$B$9:$L$12</definedName>
    <definedName name="WKG_LVS2">'[1]LVS 2'!$B$9:$L$11</definedName>
    <definedName name="WKG_REF_SALES">[1]R_Sales!$A$8:$I$26</definedName>
    <definedName name="WKG_STORAGE" localSheetId="25">#REF!</definedName>
    <definedName name="WKG_STORAGE" localSheetId="26">#REF!</definedName>
    <definedName name="WKG_STORAGE">#REF!</definedName>
    <definedName name="WKG_T2\G1">[1]T2_G1!$B$9:$L$12</definedName>
    <definedName name="WKG_T2\G1\HLF">[1]T2_G1_HLF!$B$9:$L$12</definedName>
    <definedName name="WKG_T2\G2">[1]T2_G2!$B$9:$N$11</definedName>
    <definedName name="X_EX_E1" localSheetId="25">PBR!$A$1</definedName>
  </definedNames>
  <calcPr calcId="145621" iterate="1"/>
</workbook>
</file>

<file path=xl/calcChain.xml><?xml version="1.0" encoding="utf-8"?>
<calcChain xmlns="http://schemas.openxmlformats.org/spreadsheetml/2006/main">
  <c r="M20" i="19" l="1"/>
  <c r="M18" i="19"/>
  <c r="M13" i="19"/>
  <c r="M12" i="19"/>
  <c r="L18" i="19"/>
  <c r="L13" i="19"/>
  <c r="L12" i="19"/>
  <c r="J20" i="19"/>
  <c r="J18" i="19"/>
  <c r="J13" i="19"/>
  <c r="J12" i="19"/>
  <c r="K18" i="19"/>
  <c r="K12" i="19"/>
  <c r="K13" i="19" s="1"/>
  <c r="G63" i="13" l="1"/>
  <c r="H16" i="24" l="1"/>
  <c r="H12" i="27" l="1"/>
  <c r="H13" i="27"/>
  <c r="H15" i="27"/>
  <c r="H14" i="27"/>
  <c r="H30" i="27"/>
  <c r="H28" i="27"/>
  <c r="L49" i="29"/>
  <c r="L38" i="29"/>
  <c r="L28" i="29"/>
  <c r="L16" i="29"/>
  <c r="H27" i="26"/>
  <c r="D127" i="31" l="1"/>
  <c r="F13" i="27" l="1"/>
  <c r="F12" i="27"/>
  <c r="F30" i="27"/>
  <c r="F14" i="27"/>
  <c r="F15" i="27"/>
  <c r="H28" i="29"/>
  <c r="H38" i="29"/>
  <c r="J59" i="29"/>
  <c r="H16" i="29"/>
  <c r="F27" i="26"/>
  <c r="D126" i="31" l="1"/>
  <c r="D68" i="11" l="1"/>
  <c r="F68" i="11"/>
  <c r="G68" i="11"/>
  <c r="D15" i="27"/>
  <c r="D14" i="27"/>
  <c r="D12" i="27"/>
  <c r="D13" i="27"/>
  <c r="D28" i="29"/>
  <c r="F49" i="29"/>
  <c r="D49" i="29"/>
  <c r="F38" i="29"/>
  <c r="D38" i="29"/>
  <c r="D16" i="29"/>
  <c r="D30" i="27"/>
  <c r="D27" i="26"/>
  <c r="F33" i="19" l="1"/>
  <c r="E33" i="19" l="1"/>
  <c r="D125" i="31" l="1"/>
  <c r="R36" i="28" l="1"/>
  <c r="P34" i="28"/>
  <c r="D124" i="31" l="1"/>
  <c r="J14" i="21" l="1"/>
  <c r="F14" i="21"/>
  <c r="J15" i="21"/>
  <c r="F15" i="21"/>
  <c r="B15" i="21"/>
  <c r="D123" i="31" l="1"/>
  <c r="D67" i="11" l="1"/>
  <c r="F67" i="11"/>
  <c r="G67" i="11"/>
  <c r="E68" i="11" s="1"/>
  <c r="F19" i="14" l="1"/>
  <c r="E29" i="19" l="1"/>
  <c r="C6" i="4" l="1"/>
  <c r="D122" i="31" l="1"/>
  <c r="D66" i="11" l="1"/>
  <c r="G66" i="11"/>
  <c r="E67" i="11" s="1"/>
  <c r="F66" i="11"/>
  <c r="F56" i="11" l="1"/>
  <c r="F60" i="11"/>
  <c r="F63" i="11"/>
  <c r="E53" i="11"/>
  <c r="G53" i="11"/>
  <c r="F53" i="11" s="1"/>
  <c r="G54" i="11"/>
  <c r="E55" i="11" s="1"/>
  <c r="G55" i="11"/>
  <c r="E56" i="11" s="1"/>
  <c r="G56" i="11"/>
  <c r="E57" i="11" s="1"/>
  <c r="G57" i="11"/>
  <c r="F57" i="11" s="1"/>
  <c r="G58" i="11"/>
  <c r="E59" i="11" s="1"/>
  <c r="G59" i="11"/>
  <c r="E60" i="11" s="1"/>
  <c r="G60" i="11"/>
  <c r="E61" i="11" s="1"/>
  <c r="G61" i="11"/>
  <c r="F61" i="11" s="1"/>
  <c r="G62" i="11"/>
  <c r="E63" i="11" s="1"/>
  <c r="G63" i="11"/>
  <c r="E64" i="11" s="1"/>
  <c r="G64" i="11"/>
  <c r="F64" i="11" s="1"/>
  <c r="G65" i="11"/>
  <c r="E62" i="11" l="1"/>
  <c r="E58" i="11"/>
  <c r="E54" i="11"/>
  <c r="J7" i="44" s="1"/>
  <c r="E65" i="11"/>
  <c r="F59" i="11"/>
  <c r="F55" i="11"/>
  <c r="F62" i="11"/>
  <c r="F58" i="11"/>
  <c r="F54" i="11"/>
  <c r="F65" i="11"/>
  <c r="K7" i="44" s="1"/>
  <c r="E66" i="11"/>
  <c r="M7" i="44"/>
  <c r="D121" i="31"/>
  <c r="D120" i="31" l="1"/>
  <c r="E27" i="14" l="1"/>
  <c r="E21" i="14"/>
  <c r="F49" i="15"/>
  <c r="H27" i="14"/>
  <c r="I19" i="14" l="1"/>
  <c r="G19" i="14"/>
  <c r="G25" i="14"/>
  <c r="G27" i="14" s="1"/>
  <c r="I25" i="14"/>
  <c r="I27" i="14" s="1"/>
  <c r="I24" i="13"/>
  <c r="G24" i="13"/>
  <c r="E26" i="13"/>
  <c r="F41" i="15" s="1"/>
  <c r="K6" i="44" l="1"/>
  <c r="G17" i="30"/>
  <c r="G16" i="30"/>
  <c r="C14" i="30"/>
  <c r="G10" i="30"/>
  <c r="G9" i="30"/>
  <c r="G8" i="30"/>
  <c r="G7" i="30"/>
  <c r="E18" i="30"/>
  <c r="E17" i="30"/>
  <c r="K14" i="44" l="1"/>
  <c r="K21" i="44"/>
  <c r="K28" i="44"/>
  <c r="K42" i="44"/>
  <c r="K49" i="44"/>
  <c r="K35" i="44"/>
  <c r="K8" i="44"/>
  <c r="K9" i="44" s="1"/>
  <c r="K44" i="44" l="1"/>
  <c r="K23" i="44"/>
  <c r="K51" i="44"/>
  <c r="K30" i="44"/>
  <c r="K10" i="44"/>
  <c r="K37" i="44"/>
  <c r="K16" i="44"/>
  <c r="K43" i="44"/>
  <c r="K29" i="44"/>
  <c r="K15" i="44"/>
  <c r="K50" i="44"/>
  <c r="K36" i="44"/>
  <c r="K22" i="44"/>
  <c r="K52" i="44" l="1"/>
  <c r="K11" i="44"/>
  <c r="K38" i="44"/>
  <c r="K31" i="44"/>
  <c r="K45" i="44"/>
  <c r="K17" i="44"/>
  <c r="K24" i="44"/>
  <c r="D119" i="31"/>
  <c r="K12" i="44" l="1"/>
  <c r="K39" i="44"/>
  <c r="K18" i="44"/>
  <c r="K32" i="44"/>
  <c r="K46" i="44"/>
  <c r="K53" i="44"/>
  <c r="K25" i="44"/>
  <c r="K54" i="44" l="1"/>
  <c r="K13" i="44"/>
  <c r="K26" i="44"/>
  <c r="K40" i="44"/>
  <c r="K47" i="44"/>
  <c r="K33" i="44"/>
  <c r="K19" i="44"/>
  <c r="D78" i="40"/>
  <c r="K48" i="44" l="1"/>
  <c r="K55" i="44"/>
  <c r="K20" i="44"/>
  <c r="K27" i="44"/>
  <c r="K41" i="44"/>
  <c r="K34" i="44"/>
  <c r="D118" i="31" l="1"/>
  <c r="D117" i="31" l="1"/>
  <c r="E16" i="30" l="1"/>
  <c r="E15" i="30"/>
  <c r="E14" i="30"/>
  <c r="E13" i="30"/>
  <c r="E12" i="30"/>
  <c r="F11" i="30"/>
  <c r="E11" i="30"/>
  <c r="F10" i="30"/>
  <c r="E10" i="30"/>
  <c r="F9" i="30"/>
  <c r="E9" i="30"/>
  <c r="F8" i="30"/>
  <c r="E8" i="30"/>
  <c r="F7" i="30"/>
  <c r="E7" i="30"/>
  <c r="Q5" i="10" l="1"/>
  <c r="Q5" i="9"/>
  <c r="R5" i="8"/>
  <c r="D116" i="31" l="1"/>
  <c r="D115" i="31" l="1"/>
  <c r="D114" i="31" l="1"/>
  <c r="B21" i="33" l="1"/>
  <c r="F12" i="33" l="1"/>
  <c r="F13" i="33"/>
  <c r="F14" i="33"/>
  <c r="F15" i="33"/>
  <c r="F16" i="33"/>
  <c r="F17" i="33"/>
  <c r="F18" i="33"/>
  <c r="F19" i="33"/>
  <c r="F20" i="33"/>
  <c r="I23" i="28" l="1"/>
  <c r="I16" i="28" l="1"/>
  <c r="D113" i="31" l="1"/>
  <c r="D112" i="31"/>
  <c r="D111" i="31"/>
  <c r="B22" i="21" l="1"/>
  <c r="B23" i="21"/>
  <c r="B24" i="21"/>
  <c r="L26" i="17"/>
  <c r="L25" i="17"/>
  <c r="L19" i="44" l="1"/>
  <c r="L33" i="44" s="1"/>
  <c r="L18" i="44"/>
  <c r="L32" i="44" s="1"/>
  <c r="L16" i="44"/>
  <c r="L30" i="44" s="1"/>
  <c r="L15" i="44"/>
  <c r="L29" i="44" s="1"/>
  <c r="L50" i="44"/>
  <c r="L43" i="44"/>
  <c r="L36" i="44"/>
  <c r="L12" i="44"/>
  <c r="L26" i="44" s="1"/>
  <c r="L11" i="44"/>
  <c r="L39" i="44" s="1"/>
  <c r="L9" i="44"/>
  <c r="L51" i="44" s="1"/>
  <c r="L8" i="44"/>
  <c r="L22" i="44" s="1"/>
  <c r="L25" i="44" l="1"/>
  <c r="L53" i="44"/>
  <c r="L46" i="44"/>
  <c r="L47" i="44"/>
  <c r="L40" i="44"/>
  <c r="L54" i="44"/>
  <c r="L44" i="44"/>
  <c r="L23" i="44"/>
  <c r="L37" i="44"/>
  <c r="B21" i="24" l="1"/>
  <c r="D110" i="31" l="1"/>
  <c r="I36" i="6" l="1"/>
  <c r="I35" i="6"/>
  <c r="I14" i="6"/>
  <c r="I13" i="6"/>
  <c r="I12" i="6"/>
  <c r="G36" i="6"/>
  <c r="G35" i="6"/>
  <c r="G14" i="6"/>
  <c r="G13" i="6"/>
  <c r="G12" i="6"/>
  <c r="L10" i="28"/>
  <c r="K17" i="28"/>
  <c r="G23" i="28"/>
  <c r="G16" i="28"/>
  <c r="E23" i="28"/>
  <c r="E16" i="28"/>
  <c r="K16" i="28"/>
  <c r="F9" i="28"/>
  <c r="D109" i="31" l="1"/>
  <c r="D108" i="31" l="1"/>
  <c r="G42" i="6" l="1"/>
  <c r="G20" i="6"/>
  <c r="L10" i="44" s="1"/>
  <c r="G46" i="6" l="1"/>
  <c r="G49" i="6" s="1"/>
  <c r="L17" i="44"/>
  <c r="L31" i="44" s="1"/>
  <c r="G24" i="6"/>
  <c r="L52" i="44"/>
  <c r="L45" i="44"/>
  <c r="L38" i="44"/>
  <c r="L24" i="44"/>
  <c r="J51" i="44"/>
  <c r="J44" i="44"/>
  <c r="J37" i="44"/>
  <c r="J30" i="44"/>
  <c r="J23" i="44"/>
  <c r="J16" i="44"/>
  <c r="J9" i="44"/>
  <c r="J11" i="44" s="1"/>
  <c r="J13" i="44" s="1"/>
  <c r="J6" i="44"/>
  <c r="J14" i="44"/>
  <c r="J21" i="44"/>
  <c r="J35" i="44"/>
  <c r="J49" i="44"/>
  <c r="H33" i="46"/>
  <c r="J55" i="44" l="1"/>
  <c r="J53" i="44"/>
  <c r="J50" i="44"/>
  <c r="L14" i="44"/>
  <c r="L28" i="44" s="1"/>
  <c r="G50" i="6"/>
  <c r="L7" i="44"/>
  <c r="G29" i="6"/>
  <c r="G28" i="6"/>
  <c r="G27" i="6"/>
  <c r="J8" i="44"/>
  <c r="J15" i="44"/>
  <c r="J22" i="44"/>
  <c r="J29" i="44"/>
  <c r="J36" i="44"/>
  <c r="J43" i="44"/>
  <c r="J20" i="44"/>
  <c r="J18" i="44"/>
  <c r="J27" i="44"/>
  <c r="J25" i="44"/>
  <c r="J34" i="44"/>
  <c r="J32" i="44"/>
  <c r="J41" i="44"/>
  <c r="J39" i="44"/>
  <c r="J48" i="44"/>
  <c r="J46" i="44"/>
  <c r="J42" i="44"/>
  <c r="J28" i="44"/>
  <c r="L6" i="44" l="1"/>
  <c r="L49" i="44"/>
  <c r="L42" i="44"/>
  <c r="L35" i="44"/>
  <c r="L21" i="44"/>
  <c r="J52" i="44"/>
  <c r="J45" i="44"/>
  <c r="J38" i="44"/>
  <c r="J31" i="44"/>
  <c r="J24" i="44"/>
  <c r="J17" i="44"/>
  <c r="J10" i="44"/>
  <c r="G29" i="25"/>
  <c r="J54" i="44" l="1"/>
  <c r="J47" i="44"/>
  <c r="J40" i="44"/>
  <c r="J33" i="44"/>
  <c r="J26" i="44"/>
  <c r="J19" i="44"/>
  <c r="J12" i="44"/>
  <c r="D107" i="31" l="1"/>
  <c r="M47" i="47" l="1"/>
  <c r="K47" i="47"/>
  <c r="J47" i="47"/>
  <c r="J49" i="47" s="1"/>
  <c r="J31" i="47"/>
  <c r="C31" i="47"/>
  <c r="D19" i="47"/>
  <c r="D20" i="47" s="1"/>
  <c r="B19" i="47"/>
  <c r="B20" i="47" s="1"/>
  <c r="B21" i="47" s="1"/>
  <c r="B22" i="47" s="1"/>
  <c r="B23" i="47" s="1"/>
  <c r="B24" i="47" s="1"/>
  <c r="B25" i="47" s="1"/>
  <c r="B26" i="47" s="1"/>
  <c r="B27" i="47" s="1"/>
  <c r="B28" i="47" s="1"/>
  <c r="B29" i="47" s="1"/>
  <c r="E18" i="47"/>
  <c r="F18" i="47" s="1"/>
  <c r="H9" i="47"/>
  <c r="H17" i="47" s="1"/>
  <c r="I12" i="46"/>
  <c r="E19" i="47" l="1"/>
  <c r="F19" i="47" s="1"/>
  <c r="D21" i="47"/>
  <c r="E20" i="47"/>
  <c r="F20" i="47" s="1"/>
  <c r="G18" i="47"/>
  <c r="G19" i="47" l="1"/>
  <c r="G20" i="47"/>
  <c r="D22" i="47"/>
  <c r="E21" i="47"/>
  <c r="F21" i="47" s="1"/>
  <c r="H18" i="47"/>
  <c r="H19" i="47" l="1"/>
  <c r="H20" i="47" s="1"/>
  <c r="G21" i="47"/>
  <c r="D23" i="47"/>
  <c r="E22" i="47"/>
  <c r="F22" i="47" s="1"/>
  <c r="D24" i="47" l="1"/>
  <c r="E23" i="47"/>
  <c r="F23" i="47" s="1"/>
  <c r="G22" i="47"/>
  <c r="H21" i="47"/>
  <c r="H22" i="47" l="1"/>
  <c r="G23" i="47"/>
  <c r="D25" i="47"/>
  <c r="E24" i="47"/>
  <c r="F24" i="47" s="1"/>
  <c r="G24" i="47" l="1"/>
  <c r="H23" i="47"/>
  <c r="D26" i="47"/>
  <c r="E25" i="47"/>
  <c r="F25" i="47" s="1"/>
  <c r="D106" i="31"/>
  <c r="H24" i="47" l="1"/>
  <c r="G25" i="47"/>
  <c r="D27" i="47"/>
  <c r="E26" i="47"/>
  <c r="F26" i="47" s="1"/>
  <c r="D105" i="31"/>
  <c r="H25" i="47" l="1"/>
  <c r="G26" i="47"/>
  <c r="D28" i="47"/>
  <c r="E27" i="47"/>
  <c r="F27" i="47" s="1"/>
  <c r="H26" i="47" l="1"/>
  <c r="G27" i="47"/>
  <c r="D29" i="47"/>
  <c r="E29" i="47" s="1"/>
  <c r="F29" i="47" s="1"/>
  <c r="E28" i="47"/>
  <c r="F28" i="47" s="1"/>
  <c r="G28" i="47" l="1"/>
  <c r="H27" i="47"/>
  <c r="F31" i="47"/>
  <c r="G29" i="47"/>
  <c r="E31" i="47"/>
  <c r="D57" i="11"/>
  <c r="G31" i="47" l="1"/>
  <c r="H28" i="47"/>
  <c r="H29" i="47" s="1"/>
  <c r="I23" i="22"/>
  <c r="I22" i="22"/>
  <c r="I21" i="22"/>
  <c r="I20" i="22"/>
  <c r="I19" i="22"/>
  <c r="I18" i="22"/>
  <c r="I17" i="22"/>
  <c r="I16" i="22"/>
  <c r="I15" i="22"/>
  <c r="I14" i="22"/>
  <c r="G23" i="22"/>
  <c r="G22" i="22"/>
  <c r="G21" i="22"/>
  <c r="G20" i="22"/>
  <c r="G19" i="22"/>
  <c r="G18" i="22"/>
  <c r="G17" i="22"/>
  <c r="G16" i="22"/>
  <c r="G15" i="22"/>
  <c r="G14" i="22"/>
  <c r="E23" i="22"/>
  <c r="E22" i="22"/>
  <c r="E21" i="22"/>
  <c r="E20" i="22"/>
  <c r="E19" i="22"/>
  <c r="E18" i="22"/>
  <c r="E17" i="22"/>
  <c r="E16" i="22"/>
  <c r="E15" i="22"/>
  <c r="E14" i="22"/>
  <c r="H31" i="47" l="1"/>
  <c r="I11" i="46" s="1"/>
  <c r="I13" i="46" s="1"/>
  <c r="I16" i="46" s="1"/>
  <c r="I18" i="46" s="1"/>
  <c r="H24" i="46" s="1"/>
  <c r="M55" i="44"/>
  <c r="M54" i="44"/>
  <c r="M53" i="44"/>
  <c r="M52" i="44"/>
  <c r="M51" i="44"/>
  <c r="N50" i="44"/>
  <c r="M50" i="44"/>
  <c r="M49" i="44"/>
  <c r="M48" i="44"/>
  <c r="M47" i="44"/>
  <c r="M46" i="44"/>
  <c r="M45" i="44"/>
  <c r="M44" i="44"/>
  <c r="N43" i="44"/>
  <c r="M43" i="44"/>
  <c r="M42" i="44"/>
  <c r="M41" i="44"/>
  <c r="M40" i="44"/>
  <c r="M39" i="44"/>
  <c r="M38" i="44"/>
  <c r="M37" i="44"/>
  <c r="N36" i="44"/>
  <c r="M36" i="44"/>
  <c r="M35" i="44"/>
  <c r="M34" i="44"/>
  <c r="M33" i="44"/>
  <c r="M32" i="44"/>
  <c r="M31" i="44"/>
  <c r="M30" i="44"/>
  <c r="M29" i="44"/>
  <c r="M28" i="44"/>
  <c r="M27" i="44"/>
  <c r="M26" i="44"/>
  <c r="M25" i="44"/>
  <c r="M24" i="44"/>
  <c r="M23" i="44"/>
  <c r="N22" i="44"/>
  <c r="M22" i="44"/>
  <c r="M21" i="44"/>
  <c r="M20" i="44"/>
  <c r="M19" i="44"/>
  <c r="M18" i="44"/>
  <c r="M17" i="44"/>
  <c r="M16" i="44"/>
  <c r="N15" i="44"/>
  <c r="N29" i="44" s="1"/>
  <c r="M15" i="44"/>
  <c r="M14" i="44"/>
  <c r="M13" i="44"/>
  <c r="M12" i="44"/>
  <c r="M11" i="44"/>
  <c r="M10" i="44"/>
  <c r="M9" i="44"/>
  <c r="M8" i="44"/>
  <c r="M6" i="44"/>
  <c r="C23" i="24"/>
  <c r="B23" i="24"/>
  <c r="C22" i="24"/>
  <c r="B22" i="24"/>
  <c r="B24" i="24" s="1"/>
  <c r="C21" i="24"/>
  <c r="C18" i="24"/>
  <c r="B18" i="24"/>
  <c r="F17" i="24"/>
  <c r="E17" i="24"/>
  <c r="F16" i="24"/>
  <c r="F22" i="24" s="1"/>
  <c r="D22" i="24" s="1"/>
  <c r="E16" i="24"/>
  <c r="F15" i="24"/>
  <c r="F23" i="24" s="1"/>
  <c r="D23" i="24" s="1"/>
  <c r="E15" i="24"/>
  <c r="F14" i="24"/>
  <c r="E14" i="24"/>
  <c r="F13" i="24"/>
  <c r="E13" i="24"/>
  <c r="F12" i="24"/>
  <c r="E12" i="24"/>
  <c r="F11" i="24"/>
  <c r="E11" i="24"/>
  <c r="F10" i="24"/>
  <c r="E10" i="24"/>
  <c r="D56" i="11"/>
  <c r="D55" i="11"/>
  <c r="D54" i="11"/>
  <c r="D53" i="11"/>
  <c r="D52" i="11"/>
  <c r="D51" i="11"/>
  <c r="D45" i="11"/>
  <c r="D44" i="11"/>
  <c r="D43" i="11"/>
  <c r="D42" i="11"/>
  <c r="D41" i="11"/>
  <c r="D40" i="11"/>
  <c r="D39" i="11"/>
  <c r="D38" i="11"/>
  <c r="D37" i="11"/>
  <c r="D36" i="11"/>
  <c r="D29" i="11"/>
  <c r="D28" i="11"/>
  <c r="D27" i="11"/>
  <c r="D26" i="11"/>
  <c r="D25" i="11"/>
  <c r="D24" i="11"/>
  <c r="D23" i="11"/>
  <c r="D22" i="11"/>
  <c r="D21" i="11"/>
  <c r="D20" i="11"/>
  <c r="A16" i="11"/>
  <c r="A17" i="11" s="1"/>
  <c r="A18" i="11" s="1"/>
  <c r="A19" i="11" s="1"/>
  <c r="A20" i="11" s="1"/>
  <c r="A21" i="11" s="1"/>
  <c r="A22" i="11" s="1"/>
  <c r="A23" i="11" s="1"/>
  <c r="A24" i="11" s="1"/>
  <c r="A25" i="11" s="1"/>
  <c r="A26" i="11" s="1"/>
  <c r="A27" i="11" s="1"/>
  <c r="A28" i="11" s="1"/>
  <c r="A29" i="11" s="1"/>
  <c r="L11" i="11"/>
  <c r="L10" i="11"/>
  <c r="L9" i="11"/>
  <c r="L8" i="11"/>
  <c r="L7" i="11"/>
  <c r="A7" i="11"/>
  <c r="A8" i="11" s="1"/>
  <c r="L6" i="11"/>
  <c r="L4" i="11"/>
  <c r="E21" i="33"/>
  <c r="D21" i="33"/>
  <c r="C21" i="33"/>
  <c r="F11" i="33"/>
  <c r="F10" i="33"/>
  <c r="F9" i="33"/>
  <c r="D104" i="31"/>
  <c r="D103" i="31"/>
  <c r="D102" i="31"/>
  <c r="D101" i="31"/>
  <c r="D100" i="31"/>
  <c r="D99" i="31"/>
  <c r="D98" i="31"/>
  <c r="D97" i="31"/>
  <c r="D96" i="31"/>
  <c r="D95" i="31"/>
  <c r="D94" i="31"/>
  <c r="D93" i="31"/>
  <c r="D92" i="31"/>
  <c r="D91" i="31"/>
  <c r="D90" i="31"/>
  <c r="D89" i="31"/>
  <c r="D88" i="31"/>
  <c r="D87" i="31"/>
  <c r="D86" i="31"/>
  <c r="D85" i="31"/>
  <c r="D84" i="31"/>
  <c r="D83" i="31"/>
  <c r="D82" i="31"/>
  <c r="D81" i="31"/>
  <c r="D80" i="31"/>
  <c r="D79" i="31"/>
  <c r="D78" i="31"/>
  <c r="D77" i="31"/>
  <c r="D76" i="31"/>
  <c r="D75" i="31"/>
  <c r="D74" i="31"/>
  <c r="D73" i="31"/>
  <c r="D72" i="31"/>
  <c r="D71" i="31"/>
  <c r="D70" i="31"/>
  <c r="D69" i="31"/>
  <c r="D68" i="31"/>
  <c r="D67" i="31"/>
  <c r="D66" i="31"/>
  <c r="D65" i="31"/>
  <c r="D64" i="31"/>
  <c r="D63" i="31"/>
  <c r="D62" i="31"/>
  <c r="D61" i="31"/>
  <c r="D60" i="31"/>
  <c r="D59" i="31"/>
  <c r="D58" i="31"/>
  <c r="D57" i="31"/>
  <c r="D56" i="31"/>
  <c r="D55" i="31"/>
  <c r="D54" i="31"/>
  <c r="D53" i="31"/>
  <c r="D52" i="31"/>
  <c r="D51" i="31"/>
  <c r="D50" i="31"/>
  <c r="D49" i="31"/>
  <c r="D48" i="31"/>
  <c r="D47" i="31"/>
  <c r="D46" i="31"/>
  <c r="D45" i="31"/>
  <c r="D44" i="31"/>
  <c r="D43" i="31"/>
  <c r="D42" i="31"/>
  <c r="D41" i="31"/>
  <c r="D40" i="31"/>
  <c r="D39" i="31"/>
  <c r="B38" i="31"/>
  <c r="D38" i="31" s="1"/>
  <c r="D37" i="31"/>
  <c r="D36" i="31"/>
  <c r="B35" i="31"/>
  <c r="D35" i="31" s="1"/>
  <c r="D34" i="31"/>
  <c r="D33" i="31"/>
  <c r="D32" i="31"/>
  <c r="D31" i="31"/>
  <c r="D30" i="31"/>
  <c r="D11" i="40"/>
  <c r="D8" i="40"/>
  <c r="D6" i="40"/>
  <c r="J8" i="32"/>
  <c r="H25" i="45"/>
  <c r="H26" i="45" s="1"/>
  <c r="J23" i="45"/>
  <c r="P17" i="45"/>
  <c r="P15" i="45"/>
  <c r="K14" i="45"/>
  <c r="I18" i="30"/>
  <c r="I17" i="30"/>
  <c r="I16" i="30"/>
  <c r="I15" i="30"/>
  <c r="I14" i="30"/>
  <c r="I13" i="30"/>
  <c r="I12" i="30"/>
  <c r="I11" i="30"/>
  <c r="I10" i="30"/>
  <c r="I9" i="30"/>
  <c r="I8" i="30"/>
  <c r="I7" i="30"/>
  <c r="C139" i="29"/>
  <c r="C128" i="29"/>
  <c r="C127" i="29"/>
  <c r="C126" i="29"/>
  <c r="C125" i="29"/>
  <c r="C124" i="29"/>
  <c r="C123" i="29"/>
  <c r="C117" i="29"/>
  <c r="C116" i="29"/>
  <c r="C115" i="29"/>
  <c r="C114" i="29"/>
  <c r="C113" i="29"/>
  <c r="C107" i="29"/>
  <c r="C106" i="29"/>
  <c r="C105" i="29"/>
  <c r="C104" i="29"/>
  <c r="C103" i="29"/>
  <c r="C102" i="29"/>
  <c r="C96" i="29"/>
  <c r="C95" i="29"/>
  <c r="C94" i="29"/>
  <c r="C93" i="29"/>
  <c r="C92" i="29"/>
  <c r="C91" i="29"/>
  <c r="C90" i="29"/>
  <c r="C89" i="29"/>
  <c r="C88" i="29"/>
  <c r="C87" i="29"/>
  <c r="C86" i="29"/>
  <c r="C85" i="29"/>
  <c r="A77" i="29"/>
  <c r="N66" i="29"/>
  <c r="N141" i="29" s="1"/>
  <c r="L66" i="29"/>
  <c r="L141" i="29" s="1"/>
  <c r="J66" i="29"/>
  <c r="J141" i="29" s="1"/>
  <c r="H66" i="29"/>
  <c r="H141" i="29" s="1"/>
  <c r="F66" i="29"/>
  <c r="F141" i="29" s="1"/>
  <c r="D66" i="29"/>
  <c r="D141" i="29" s="1"/>
  <c r="N55" i="29"/>
  <c r="N130" i="29" s="1"/>
  <c r="J55" i="29"/>
  <c r="J130" i="29" s="1"/>
  <c r="F55" i="29"/>
  <c r="F130" i="29" s="1"/>
  <c r="L55" i="29"/>
  <c r="L130" i="29" s="1"/>
  <c r="H55" i="29"/>
  <c r="H130" i="29" s="1"/>
  <c r="D55" i="29"/>
  <c r="D130" i="29" s="1"/>
  <c r="F44" i="29"/>
  <c r="F119" i="29" s="1"/>
  <c r="D44" i="29"/>
  <c r="D119" i="29" s="1"/>
  <c r="N44" i="29"/>
  <c r="N119" i="29" s="1"/>
  <c r="L44" i="29"/>
  <c r="L119" i="29" s="1"/>
  <c r="J44" i="29"/>
  <c r="J119" i="29" s="1"/>
  <c r="H44" i="29"/>
  <c r="H119" i="29" s="1"/>
  <c r="N34" i="29"/>
  <c r="N109" i="29" s="1"/>
  <c r="L34" i="29"/>
  <c r="L109" i="29" s="1"/>
  <c r="J34" i="29"/>
  <c r="J109" i="29" s="1"/>
  <c r="F34" i="29"/>
  <c r="F109" i="29" s="1"/>
  <c r="D34" i="29"/>
  <c r="D109" i="29" s="1"/>
  <c r="H34" i="29"/>
  <c r="H109" i="29" s="1"/>
  <c r="N23" i="29"/>
  <c r="L23" i="29"/>
  <c r="J23" i="29"/>
  <c r="H23" i="29"/>
  <c r="F23" i="29"/>
  <c r="D23" i="29"/>
  <c r="N26" i="28"/>
  <c r="D25" i="28"/>
  <c r="D27" i="28" s="1"/>
  <c r="L24" i="28"/>
  <c r="L23" i="28"/>
  <c r="J23" i="28"/>
  <c r="H23" i="28"/>
  <c r="F23" i="28"/>
  <c r="N19" i="28"/>
  <c r="D18" i="28"/>
  <c r="D20" i="28" s="1"/>
  <c r="L17" i="28"/>
  <c r="L16" i="28"/>
  <c r="J16" i="28"/>
  <c r="H16" i="28"/>
  <c r="F16" i="28"/>
  <c r="N12" i="28"/>
  <c r="D11" i="28"/>
  <c r="D13" i="28" s="1"/>
  <c r="I10" i="28"/>
  <c r="J10" i="28" s="1"/>
  <c r="G10" i="28"/>
  <c r="E10" i="28"/>
  <c r="L9" i="28"/>
  <c r="J9" i="28"/>
  <c r="H9" i="28"/>
  <c r="H17" i="27"/>
  <c r="F17" i="27"/>
  <c r="D17" i="27"/>
  <c r="A67" i="26"/>
  <c r="G33" i="26"/>
  <c r="H16" i="26"/>
  <c r="F16" i="26"/>
  <c r="D16" i="26"/>
  <c r="A63" i="25"/>
  <c r="G41" i="25"/>
  <c r="B24" i="25"/>
  <c r="G19" i="25"/>
  <c r="N42" i="21"/>
  <c r="A39" i="21"/>
  <c r="R26" i="21"/>
  <c r="Q26" i="21"/>
  <c r="J24" i="21"/>
  <c r="F24" i="21"/>
  <c r="J23" i="21"/>
  <c r="F23" i="21"/>
  <c r="J22" i="21"/>
  <c r="F22" i="21"/>
  <c r="P21" i="21"/>
  <c r="N21" i="21"/>
  <c r="L20" i="21"/>
  <c r="F25" i="21"/>
  <c r="D20" i="21"/>
  <c r="R18" i="21"/>
  <c r="N17" i="21"/>
  <c r="J18" i="21"/>
  <c r="F18" i="21"/>
  <c r="B18" i="21"/>
  <c r="N16" i="21"/>
  <c r="N15" i="21"/>
  <c r="N14" i="21"/>
  <c r="N13" i="21"/>
  <c r="N12" i="21"/>
  <c r="N11" i="21"/>
  <c r="C23" i="22"/>
  <c r="B23" i="22" s="1"/>
  <c r="C22" i="22"/>
  <c r="B22" i="22" s="1"/>
  <c r="C21" i="22"/>
  <c r="B21" i="22" s="1"/>
  <c r="C20" i="22"/>
  <c r="B20" i="22" s="1"/>
  <c r="C19" i="22"/>
  <c r="B19" i="22" s="1"/>
  <c r="C18" i="22"/>
  <c r="B18" i="22" s="1"/>
  <c r="C17" i="22"/>
  <c r="B17" i="22" s="1"/>
  <c r="C16" i="22"/>
  <c r="B16" i="22" s="1"/>
  <c r="C15" i="22"/>
  <c r="B15" i="22" s="1"/>
  <c r="I25" i="22"/>
  <c r="K25" i="21" s="1"/>
  <c r="G25" i="22"/>
  <c r="G25" i="21" s="1"/>
  <c r="E25" i="22"/>
  <c r="C25" i="21" s="1"/>
  <c r="C14" i="22"/>
  <c r="A3" i="22"/>
  <c r="F11" i="20"/>
  <c r="F13" i="20" s="1"/>
  <c r="F15" i="20" s="1"/>
  <c r="F22" i="20" s="1"/>
  <c r="A2" i="20"/>
  <c r="H29" i="19"/>
  <c r="F25" i="19"/>
  <c r="E25" i="19" s="1"/>
  <c r="F22" i="19"/>
  <c r="E22" i="19" s="1"/>
  <c r="F21" i="19"/>
  <c r="E21" i="19" s="1"/>
  <c r="F19" i="19"/>
  <c r="F18" i="19"/>
  <c r="E18" i="19" s="1"/>
  <c r="F14" i="19"/>
  <c r="E14" i="19" s="1"/>
  <c r="A2" i="19"/>
  <c r="E35" i="18"/>
  <c r="F30" i="18"/>
  <c r="G26" i="18"/>
  <c r="G35" i="18" s="1"/>
  <c r="F26" i="18"/>
  <c r="A2" i="18"/>
  <c r="L27" i="17"/>
  <c r="F29" i="17" s="1"/>
  <c r="N26" i="17"/>
  <c r="N25" i="17"/>
  <c r="J15" i="17"/>
  <c r="J14" i="17"/>
  <c r="H35" i="16"/>
  <c r="H31" i="16"/>
  <c r="I30" i="16"/>
  <c r="J30" i="16" s="1"/>
  <c r="J29" i="16"/>
  <c r="J28" i="16"/>
  <c r="F22" i="16"/>
  <c r="I21" i="16"/>
  <c r="J21" i="16" s="1"/>
  <c r="J20" i="16"/>
  <c r="J14" i="16"/>
  <c r="A2" i="16"/>
  <c r="G29" i="15"/>
  <c r="I27" i="15"/>
  <c r="A2" i="15"/>
  <c r="E35" i="14"/>
  <c r="I35" i="14" s="1"/>
  <c r="E34" i="14"/>
  <c r="I32" i="14"/>
  <c r="G32" i="14"/>
  <c r="E31" i="14"/>
  <c r="F48" i="15"/>
  <c r="I16" i="14"/>
  <c r="G16" i="14"/>
  <c r="I13" i="14"/>
  <c r="G13" i="14"/>
  <c r="A2" i="14"/>
  <c r="E50" i="13"/>
  <c r="F44" i="15" s="1"/>
  <c r="I48" i="13"/>
  <c r="I50" i="13" s="1"/>
  <c r="I56" i="13" s="1"/>
  <c r="G48" i="13"/>
  <c r="G50" i="13" s="1"/>
  <c r="G56" i="13" s="1"/>
  <c r="F42" i="13"/>
  <c r="G42" i="13" s="1"/>
  <c r="E38" i="13"/>
  <c r="I39" i="13" s="1"/>
  <c r="I36" i="13"/>
  <c r="G36" i="13"/>
  <c r="E32" i="13"/>
  <c r="F42" i="15" s="1"/>
  <c r="I30" i="13"/>
  <c r="I32" i="13" s="1"/>
  <c r="I54" i="13" s="1"/>
  <c r="G30" i="13"/>
  <c r="G32" i="13" s="1"/>
  <c r="G54" i="13" s="1"/>
  <c r="I21" i="13"/>
  <c r="G21" i="13"/>
  <c r="I18" i="13"/>
  <c r="G18" i="13"/>
  <c r="E14" i="13"/>
  <c r="F40" i="15" s="1"/>
  <c r="I12" i="13"/>
  <c r="I14" i="13" s="1"/>
  <c r="I52" i="13" s="1"/>
  <c r="G12" i="13"/>
  <c r="G14" i="13" s="1"/>
  <c r="G52" i="13" s="1"/>
  <c r="K21" i="7"/>
  <c r="K20" i="7"/>
  <c r="K14" i="7"/>
  <c r="K13" i="7"/>
  <c r="K12" i="7"/>
  <c r="A2" i="7"/>
  <c r="G62" i="6"/>
  <c r="I44" i="6" s="1"/>
  <c r="K36" i="6"/>
  <c r="K35" i="6"/>
  <c r="K14" i="6"/>
  <c r="K13" i="6"/>
  <c r="K12" i="6"/>
  <c r="G7" i="6"/>
  <c r="G7" i="7" s="1"/>
  <c r="H42" i="10"/>
  <c r="P28" i="10"/>
  <c r="N28" i="10"/>
  <c r="R28" i="10" s="1"/>
  <c r="N27" i="10"/>
  <c r="R27" i="10" s="1"/>
  <c r="P22" i="10"/>
  <c r="N22" i="10"/>
  <c r="P21" i="10"/>
  <c r="N21" i="10"/>
  <c r="N20" i="10"/>
  <c r="R20" i="10" s="1"/>
  <c r="R14" i="10"/>
  <c r="G43" i="9"/>
  <c r="F53" i="8"/>
  <c r="N36" i="8"/>
  <c r="N35" i="8"/>
  <c r="N22" i="8"/>
  <c r="N21" i="8"/>
  <c r="N20" i="8"/>
  <c r="E17" i="18" l="1"/>
  <c r="G32" i="45"/>
  <c r="G34" i="45" s="1"/>
  <c r="G26" i="13"/>
  <c r="G53" i="13"/>
  <c r="G18" i="18"/>
  <c r="G36" i="45"/>
  <c r="H10" i="28"/>
  <c r="G17" i="28"/>
  <c r="H17" i="28" s="1"/>
  <c r="H18" i="28" s="1"/>
  <c r="H20" i="28" s="1"/>
  <c r="G24" i="28"/>
  <c r="H24" i="28" s="1"/>
  <c r="I31" i="14"/>
  <c r="E36" i="14"/>
  <c r="G19" i="19"/>
  <c r="E19" i="19"/>
  <c r="I26" i="13"/>
  <c r="G31" i="14"/>
  <c r="G21" i="14"/>
  <c r="I21" i="14"/>
  <c r="I53" i="13"/>
  <c r="L17" i="15"/>
  <c r="L11" i="15"/>
  <c r="H25" i="28"/>
  <c r="H27" i="28" s="1"/>
  <c r="J7" i="30"/>
  <c r="J18" i="30"/>
  <c r="G34" i="25" s="1"/>
  <c r="F35" i="18"/>
  <c r="J11" i="28"/>
  <c r="J13" i="28" s="1"/>
  <c r="C24" i="24"/>
  <c r="F21" i="24"/>
  <c r="F24" i="24" s="1"/>
  <c r="L25" i="28"/>
  <c r="L27" i="28" s="1"/>
  <c r="E16" i="25" s="1"/>
  <c r="Y22" i="10"/>
  <c r="W22" i="8"/>
  <c r="Y21" i="10"/>
  <c r="W21" i="8"/>
  <c r="W20" i="8"/>
  <c r="Y20" i="10"/>
  <c r="Y28" i="10"/>
  <c r="W36" i="8"/>
  <c r="W35" i="8"/>
  <c r="Y27" i="10"/>
  <c r="I24" i="28"/>
  <c r="J24" i="28" s="1"/>
  <c r="J25" i="28" s="1"/>
  <c r="J27" i="28" s="1"/>
  <c r="I17" i="28"/>
  <c r="J17" i="28" s="1"/>
  <c r="J18" i="28" s="1"/>
  <c r="J20" i="28" s="1"/>
  <c r="F10" i="28"/>
  <c r="F11" i="28" s="1"/>
  <c r="F13" i="28" s="1"/>
  <c r="E17" i="28"/>
  <c r="F17" i="28" s="1"/>
  <c r="E24" i="28"/>
  <c r="F24" i="28" s="1"/>
  <c r="F25" i="28" s="1"/>
  <c r="F27" i="28" s="1"/>
  <c r="F70" i="29"/>
  <c r="D18" i="27" s="1"/>
  <c r="E18" i="18"/>
  <c r="H29" i="46"/>
  <c r="H31" i="46" s="1"/>
  <c r="L11" i="28"/>
  <c r="L13" i="28" s="1"/>
  <c r="E12" i="25" s="1"/>
  <c r="B14" i="22"/>
  <c r="N23" i="21"/>
  <c r="G35" i="25"/>
  <c r="R21" i="10"/>
  <c r="R22" i="10"/>
  <c r="I22" i="6"/>
  <c r="K22" i="6" s="1"/>
  <c r="V28" i="9" s="1"/>
  <c r="I42" i="13"/>
  <c r="I44" i="13" s="1"/>
  <c r="I55" i="13" s="1"/>
  <c r="I58" i="13" s="1"/>
  <c r="I61" i="13" s="1"/>
  <c r="E9" i="18" s="1"/>
  <c r="G35" i="14"/>
  <c r="G32" i="15"/>
  <c r="N18" i="21"/>
  <c r="H20" i="21"/>
  <c r="P20" i="21" s="1"/>
  <c r="F26" i="21"/>
  <c r="N24" i="21"/>
  <c r="F28" i="19" s="1"/>
  <c r="E28" i="19" s="1"/>
  <c r="J8" i="30"/>
  <c r="J9" i="30"/>
  <c r="J10" i="30"/>
  <c r="J11" i="30"/>
  <c r="J12" i="30"/>
  <c r="J13" i="30"/>
  <c r="J14" i="30"/>
  <c r="J15" i="30"/>
  <c r="J16" i="30"/>
  <c r="J17" i="30"/>
  <c r="F21" i="33"/>
  <c r="E18" i="24"/>
  <c r="L18" i="28"/>
  <c r="L20" i="28" s="1"/>
  <c r="E14" i="25" s="1"/>
  <c r="H11" i="28"/>
  <c r="H13" i="28" s="1"/>
  <c r="N19" i="44"/>
  <c r="N33" i="44" s="1"/>
  <c r="K44" i="6"/>
  <c r="W28" i="9" s="1"/>
  <c r="R28" i="9"/>
  <c r="G13" i="12" s="1"/>
  <c r="F50" i="15"/>
  <c r="G49" i="15" s="1"/>
  <c r="I49" i="15" s="1"/>
  <c r="G39" i="13"/>
  <c r="G44" i="13" s="1"/>
  <c r="G55" i="13" s="1"/>
  <c r="E44" i="13"/>
  <c r="E52" i="13"/>
  <c r="E54" i="13"/>
  <c r="E56" i="13"/>
  <c r="G34" i="14"/>
  <c r="I13" i="15"/>
  <c r="I20" i="15"/>
  <c r="F12" i="19"/>
  <c r="E12" i="19" s="1"/>
  <c r="F13" i="19"/>
  <c r="E13" i="19" s="1"/>
  <c r="H25" i="21"/>
  <c r="N20" i="21"/>
  <c r="B25" i="21"/>
  <c r="D25" i="21" s="1"/>
  <c r="J25" i="21"/>
  <c r="J26" i="21" s="1"/>
  <c r="D98" i="29"/>
  <c r="D145" i="29" s="1"/>
  <c r="D70" i="29"/>
  <c r="D17" i="26" s="1"/>
  <c r="D33" i="26" s="1"/>
  <c r="H98" i="29"/>
  <c r="H145" i="29" s="1"/>
  <c r="H70" i="29"/>
  <c r="F17" i="26" s="1"/>
  <c r="F28" i="26" s="1"/>
  <c r="F33" i="26" s="1"/>
  <c r="C14" i="25" s="1"/>
  <c r="L98" i="29"/>
  <c r="L145" i="29" s="1"/>
  <c r="L70" i="29"/>
  <c r="H17" i="26" s="1"/>
  <c r="H28" i="26" s="1"/>
  <c r="H33" i="26" s="1"/>
  <c r="C16" i="25" s="1"/>
  <c r="E53" i="13"/>
  <c r="I34" i="14"/>
  <c r="I36" i="14" s="1"/>
  <c r="N22" i="21"/>
  <c r="N9" i="28"/>
  <c r="N16" i="28"/>
  <c r="F98" i="29"/>
  <c r="F145" i="29" s="1"/>
  <c r="J98" i="29"/>
  <c r="J145" i="29" s="1"/>
  <c r="J70" i="29"/>
  <c r="F18" i="27" s="1"/>
  <c r="F31" i="27" s="1"/>
  <c r="F36" i="27" s="1"/>
  <c r="D14" i="25" s="1"/>
  <c r="N98" i="29"/>
  <c r="N145" i="29" s="1"/>
  <c r="N70" i="29"/>
  <c r="H18" i="27" s="1"/>
  <c r="H31" i="27" s="1"/>
  <c r="H36" i="27" s="1"/>
  <c r="D16" i="25" s="1"/>
  <c r="N23" i="28"/>
  <c r="I21" i="32"/>
  <c r="I22" i="45"/>
  <c r="H27" i="45"/>
  <c r="A9" i="11"/>
  <c r="A10" i="11" s="1"/>
  <c r="A11" i="11" s="1"/>
  <c r="A12" i="11" s="1"/>
  <c r="A13" i="11" s="1"/>
  <c r="A14" i="11" s="1"/>
  <c r="F18" i="24"/>
  <c r="N27" i="17"/>
  <c r="M27" i="17" s="1"/>
  <c r="G30" i="17" s="1"/>
  <c r="H30" i="17" s="1"/>
  <c r="E23" i="19"/>
  <c r="F23" i="19"/>
  <c r="G17" i="18" l="1"/>
  <c r="G38" i="45"/>
  <c r="G38" i="14"/>
  <c r="G58" i="13"/>
  <c r="G61" i="13" s="1"/>
  <c r="H35" i="46"/>
  <c r="I38" i="14"/>
  <c r="E11" i="18" s="1"/>
  <c r="N10" i="28"/>
  <c r="N11" i="28" s="1"/>
  <c r="N13" i="28" s="1"/>
  <c r="D24" i="24"/>
  <c r="I26" i="16" s="1"/>
  <c r="J26" i="16" s="1"/>
  <c r="H22" i="19" s="1"/>
  <c r="G22" i="19" s="1"/>
  <c r="G37" i="25"/>
  <c r="D21" i="24"/>
  <c r="O13" i="28"/>
  <c r="O27" i="28"/>
  <c r="F16" i="25"/>
  <c r="I16" i="25" s="1"/>
  <c r="N17" i="28"/>
  <c r="N18" i="28" s="1"/>
  <c r="N20" i="28" s="1"/>
  <c r="D18" i="24"/>
  <c r="H25" i="15" s="1"/>
  <c r="I25" i="15" s="1"/>
  <c r="N24" i="28"/>
  <c r="N25" i="28" s="1"/>
  <c r="N27" i="28" s="1"/>
  <c r="F18" i="28"/>
  <c r="F20" i="28" s="1"/>
  <c r="F30" i="28" s="1"/>
  <c r="G26" i="25" s="1"/>
  <c r="J32" i="28"/>
  <c r="E30" i="19"/>
  <c r="G40" i="46"/>
  <c r="I45" i="6" s="1"/>
  <c r="G38" i="46"/>
  <c r="I23" i="6" s="1"/>
  <c r="L33" i="28"/>
  <c r="F30" i="19"/>
  <c r="L25" i="21"/>
  <c r="P25" i="21" s="1"/>
  <c r="F14" i="25"/>
  <c r="I14" i="25" s="1"/>
  <c r="C12" i="25"/>
  <c r="G36" i="14"/>
  <c r="E19" i="25"/>
  <c r="N12" i="44"/>
  <c r="N28" i="9"/>
  <c r="G5" i="12" s="1"/>
  <c r="D28" i="26"/>
  <c r="H31" i="28"/>
  <c r="D31" i="27"/>
  <c r="B4" i="4"/>
  <c r="I25" i="45"/>
  <c r="J22" i="45"/>
  <c r="J25" i="45" s="1"/>
  <c r="N25" i="21"/>
  <c r="N26" i="21" s="1"/>
  <c r="E15" i="19"/>
  <c r="F15" i="19"/>
  <c r="B26" i="21"/>
  <c r="G40" i="45"/>
  <c r="H40" i="45" s="1"/>
  <c r="G41" i="45"/>
  <c r="H41" i="45" s="1"/>
  <c r="F43" i="15"/>
  <c r="E55" i="13"/>
  <c r="E58" i="13" s="1"/>
  <c r="G48" i="15"/>
  <c r="G29" i="12"/>
  <c r="G33" i="12"/>
  <c r="G25" i="12"/>
  <c r="H32" i="17"/>
  <c r="I30" i="17"/>
  <c r="I32" i="17" s="1"/>
  <c r="E12" i="18" s="1"/>
  <c r="O25" i="21" l="1"/>
  <c r="B35" i="22" s="1"/>
  <c r="B8" i="4"/>
  <c r="A3" i="46" s="1"/>
  <c r="B6" i="4"/>
  <c r="E13" i="18"/>
  <c r="F18" i="18" s="1"/>
  <c r="H18" i="18" s="1"/>
  <c r="F37" i="19"/>
  <c r="F39" i="19" s="1"/>
  <c r="O20" i="28"/>
  <c r="O36" i="28" s="1"/>
  <c r="N34" i="28"/>
  <c r="E37" i="19"/>
  <c r="N11" i="44"/>
  <c r="K23" i="6"/>
  <c r="V32" i="9" s="1"/>
  <c r="N32" i="9"/>
  <c r="G4" i="12" s="1"/>
  <c r="N18" i="44"/>
  <c r="N32" i="44" s="1"/>
  <c r="K45" i="6"/>
  <c r="W32" i="9" s="1"/>
  <c r="R32" i="9"/>
  <c r="G12" i="12" s="1"/>
  <c r="D36" i="27"/>
  <c r="D12" i="25" s="1"/>
  <c r="N54" i="44"/>
  <c r="N40" i="44"/>
  <c r="N47" i="44"/>
  <c r="N26" i="44"/>
  <c r="G17" i="12"/>
  <c r="G21" i="12"/>
  <c r="G9" i="12"/>
  <c r="G50" i="15"/>
  <c r="I48" i="15"/>
  <c r="I50" i="15" s="1"/>
  <c r="I13" i="16" s="1"/>
  <c r="J13" i="16" s="1"/>
  <c r="F45" i="15"/>
  <c r="I26" i="45"/>
  <c r="H46" i="45"/>
  <c r="H44" i="45"/>
  <c r="D33" i="12"/>
  <c r="D32" i="12"/>
  <c r="D31" i="12"/>
  <c r="D26" i="12"/>
  <c r="D25" i="12"/>
  <c r="D24" i="12"/>
  <c r="D23" i="12"/>
  <c r="D18" i="12"/>
  <c r="D17" i="12"/>
  <c r="D16" i="12"/>
  <c r="D15" i="12"/>
  <c r="D10" i="12"/>
  <c r="D9" i="12"/>
  <c r="D8" i="12"/>
  <c r="D7" i="12"/>
  <c r="D2" i="12"/>
  <c r="D7" i="40"/>
  <c r="B11" i="4"/>
  <c r="D30" i="12"/>
  <c r="D29" i="12"/>
  <c r="D28" i="12"/>
  <c r="D27" i="12"/>
  <c r="D22" i="12"/>
  <c r="D21" i="12"/>
  <c r="D20" i="12"/>
  <c r="D19" i="12"/>
  <c r="D14" i="12"/>
  <c r="D13" i="12"/>
  <c r="D12" i="12"/>
  <c r="D11" i="12"/>
  <c r="D6" i="12"/>
  <c r="D5" i="12"/>
  <c r="D4" i="12"/>
  <c r="D3" i="12"/>
  <c r="B15" i="4"/>
  <c r="B9" i="4"/>
  <c r="L81" i="29"/>
  <c r="D81" i="29"/>
  <c r="H81" i="29"/>
  <c r="H44" i="10"/>
  <c r="F55" i="8"/>
  <c r="E60" i="6"/>
  <c r="G45" i="9"/>
  <c r="F17" i="18" l="1"/>
  <c r="H17" i="18" s="1"/>
  <c r="E39" i="19"/>
  <c r="E41" i="19" s="1"/>
  <c r="E45" i="19" s="1"/>
  <c r="G28" i="12"/>
  <c r="G24" i="12"/>
  <c r="G16" i="12"/>
  <c r="G32" i="12" s="1"/>
  <c r="G8" i="12"/>
  <c r="G20" i="12"/>
  <c r="N53" i="44"/>
  <c r="N39" i="44"/>
  <c r="N25" i="44"/>
  <c r="N46" i="44"/>
  <c r="D19" i="25"/>
  <c r="F12" i="25"/>
  <c r="I12" i="25" s="1"/>
  <c r="I19" i="25" s="1"/>
  <c r="G25" i="25" s="1"/>
  <c r="G28" i="25" s="1"/>
  <c r="J26" i="45"/>
  <c r="J27" i="45" s="1"/>
  <c r="H12" i="15"/>
  <c r="H14" i="15" s="1"/>
  <c r="Q3" i="10"/>
  <c r="Q3" i="9"/>
  <c r="R3" i="8"/>
  <c r="D10" i="40"/>
  <c r="D60" i="6"/>
  <c r="I7" i="6"/>
  <c r="I7" i="7" s="1"/>
  <c r="F52" i="9"/>
  <c r="A4" i="25"/>
  <c r="F51" i="10"/>
  <c r="D62" i="8"/>
  <c r="B9" i="8"/>
  <c r="G40" i="15"/>
  <c r="G42" i="15"/>
  <c r="I42" i="15" s="1"/>
  <c r="G44" i="15"/>
  <c r="I44" i="15" s="1"/>
  <c r="G41" i="15"/>
  <c r="I41" i="15" s="1"/>
  <c r="K51" i="10"/>
  <c r="I62" i="8"/>
  <c r="K52" i="9"/>
  <c r="B19" i="4"/>
  <c r="B16" i="4"/>
  <c r="D6" i="29"/>
  <c r="B9" i="28"/>
  <c r="D9" i="27"/>
  <c r="D5" i="27" s="1"/>
  <c r="D9" i="26"/>
  <c r="B12" i="25"/>
  <c r="A5" i="31" s="1"/>
  <c r="B12" i="4"/>
  <c r="B13" i="4" s="1"/>
  <c r="B9" i="21"/>
  <c r="I27" i="45"/>
  <c r="G43" i="15"/>
  <c r="I43" i="15" s="1"/>
  <c r="F41" i="19"/>
  <c r="F19" i="18" l="1"/>
  <c r="B5" i="31"/>
  <c r="C5" i="31"/>
  <c r="F19" i="25"/>
  <c r="I12" i="15"/>
  <c r="I13" i="17"/>
  <c r="G40" i="25"/>
  <c r="G31" i="25"/>
  <c r="G43" i="25" s="1"/>
  <c r="I43" i="6" s="1"/>
  <c r="I27" i="16"/>
  <c r="J27" i="16" s="1"/>
  <c r="H21" i="19" s="1"/>
  <c r="G21" i="19" s="1"/>
  <c r="H33" i="19"/>
  <c r="G33" i="19" s="1"/>
  <c r="I12" i="16"/>
  <c r="J12" i="16" s="1"/>
  <c r="H26" i="15"/>
  <c r="H18" i="15"/>
  <c r="I42" i="45"/>
  <c r="G42" i="45"/>
  <c r="J9" i="21"/>
  <c r="J42" i="21" s="1"/>
  <c r="F9" i="21"/>
  <c r="F42" i="21" s="1"/>
  <c r="B20" i="4"/>
  <c r="B17" i="4"/>
  <c r="H6" i="29"/>
  <c r="B16" i="28"/>
  <c r="B14" i="25"/>
  <c r="A6" i="31" s="1"/>
  <c r="F9" i="27"/>
  <c r="F5" i="27" s="1"/>
  <c r="F9" i="26"/>
  <c r="I14" i="15"/>
  <c r="H15" i="15"/>
  <c r="G45" i="15"/>
  <c r="I40" i="15"/>
  <c r="I45" i="15" s="1"/>
  <c r="H19" i="15" s="1"/>
  <c r="A4" i="27"/>
  <c r="A4" i="28"/>
  <c r="A4" i="26"/>
  <c r="B42" i="21"/>
  <c r="E12" i="22"/>
  <c r="D5" i="29"/>
  <c r="D5" i="26"/>
  <c r="B9" i="10"/>
  <c r="B9" i="9"/>
  <c r="H19" i="18"/>
  <c r="I17" i="18"/>
  <c r="I19" i="18" s="1"/>
  <c r="F45" i="19"/>
  <c r="B6" i="31" l="1"/>
  <c r="C6" i="31"/>
  <c r="I15" i="15"/>
  <c r="H12" i="19" s="1"/>
  <c r="G12" i="19" s="1"/>
  <c r="I15" i="16"/>
  <c r="I16" i="16" s="1"/>
  <c r="I19" i="16"/>
  <c r="I22" i="16" s="1"/>
  <c r="J31" i="16"/>
  <c r="I31" i="16" s="1"/>
  <c r="C23" i="21" s="1"/>
  <c r="G23" i="21" s="1"/>
  <c r="H23" i="21" s="1"/>
  <c r="I16" i="17"/>
  <c r="J13" i="17"/>
  <c r="I21" i="6"/>
  <c r="N9" i="44" s="1"/>
  <c r="H21" i="15"/>
  <c r="I21" i="15" s="1"/>
  <c r="I18" i="15"/>
  <c r="G28" i="19"/>
  <c r="H28" i="15"/>
  <c r="I28" i="15" s="1"/>
  <c r="I26" i="15"/>
  <c r="N16" i="44"/>
  <c r="N30" i="44" s="1"/>
  <c r="K43" i="6"/>
  <c r="W25" i="9" s="1"/>
  <c r="R25" i="9"/>
  <c r="B21" i="4"/>
  <c r="B40" i="25" s="1"/>
  <c r="D14" i="40"/>
  <c r="L6" i="29"/>
  <c r="B23" i="28"/>
  <c r="A20" i="33" s="1"/>
  <c r="A19" i="33" s="1"/>
  <c r="A18" i="33" s="1"/>
  <c r="A17" i="33" s="1"/>
  <c r="A16" i="33" s="1"/>
  <c r="A15" i="33" s="1"/>
  <c r="A14" i="33" s="1"/>
  <c r="A13" i="33" s="1"/>
  <c r="A12" i="33" s="1"/>
  <c r="A11" i="33" s="1"/>
  <c r="A10" i="33" s="1"/>
  <c r="A9" i="33" s="1"/>
  <c r="H9" i="27"/>
  <c r="H5" i="27" s="1"/>
  <c r="H9" i="26"/>
  <c r="B16" i="25"/>
  <c r="A7" i="31" s="1"/>
  <c r="A3" i="25"/>
  <c r="B25" i="25"/>
  <c r="I50" i="45"/>
  <c r="B22" i="33" s="1"/>
  <c r="I48" i="45"/>
  <c r="D5" i="31"/>
  <c r="G12" i="22"/>
  <c r="L5" i="22"/>
  <c r="I19" i="15"/>
  <c r="H5" i="29"/>
  <c r="F5" i="26"/>
  <c r="I30" i="18"/>
  <c r="I41" i="6"/>
  <c r="H30" i="18"/>
  <c r="H26" i="18"/>
  <c r="I19" i="6"/>
  <c r="B28" i="25" l="1"/>
  <c r="J19" i="16"/>
  <c r="C7" i="31"/>
  <c r="C8" i="31" s="1"/>
  <c r="B7" i="31"/>
  <c r="B8" i="31" s="1"/>
  <c r="H22" i="15"/>
  <c r="J15" i="16"/>
  <c r="J16" i="16" s="1"/>
  <c r="H18" i="19" s="1"/>
  <c r="G18" i="19" s="1"/>
  <c r="D23" i="21"/>
  <c r="I22" i="15"/>
  <c r="H13" i="19" s="1"/>
  <c r="G13" i="19" s="1"/>
  <c r="K23" i="21"/>
  <c r="L23" i="21" s="1"/>
  <c r="I29" i="15"/>
  <c r="J16" i="17"/>
  <c r="J17" i="17" s="1"/>
  <c r="H25" i="19" s="1"/>
  <c r="G25" i="19" s="1"/>
  <c r="I17" i="17"/>
  <c r="K21" i="6"/>
  <c r="V25" i="9" s="1"/>
  <c r="N25" i="9"/>
  <c r="G3" i="12" s="1"/>
  <c r="G11" i="12" s="1"/>
  <c r="J22" i="16"/>
  <c r="I23" i="16"/>
  <c r="D6" i="31"/>
  <c r="N51" i="44"/>
  <c r="N44" i="44"/>
  <c r="N37" i="44"/>
  <c r="N23" i="44"/>
  <c r="C22" i="33"/>
  <c r="B23" i="33"/>
  <c r="I30" i="32" s="1"/>
  <c r="I12" i="22"/>
  <c r="B8" i="22" s="1"/>
  <c r="N5" i="22"/>
  <c r="A3" i="28"/>
  <c r="A3" i="27"/>
  <c r="A3" i="26"/>
  <c r="D13" i="40"/>
  <c r="L5" i="29"/>
  <c r="H5" i="26"/>
  <c r="K41" i="6"/>
  <c r="K19" i="6"/>
  <c r="G23" i="12" l="1"/>
  <c r="J23" i="16"/>
  <c r="H19" i="19" s="1"/>
  <c r="H23" i="19" s="1"/>
  <c r="P23" i="21"/>
  <c r="O23" i="21" s="1"/>
  <c r="I32" i="15"/>
  <c r="H32" i="15" s="1"/>
  <c r="H14" i="19"/>
  <c r="H15" i="19" s="1"/>
  <c r="G15" i="19" s="1"/>
  <c r="H29" i="15"/>
  <c r="H28" i="19" s="1"/>
  <c r="H30" i="19" s="1"/>
  <c r="G30" i="19" s="1"/>
  <c r="G7" i="12"/>
  <c r="G19" i="12"/>
  <c r="G15" i="12"/>
  <c r="P5" i="22"/>
  <c r="B28" i="22"/>
  <c r="D22" i="33"/>
  <c r="C23" i="33"/>
  <c r="I31" i="32" s="1"/>
  <c r="G27" i="12"/>
  <c r="G31" i="12"/>
  <c r="D7" i="31"/>
  <c r="D8" i="31" s="1"/>
  <c r="D21" i="25" s="1"/>
  <c r="J35" i="16" l="1"/>
  <c r="I35" i="16" s="1"/>
  <c r="G14" i="19"/>
  <c r="C22" i="21"/>
  <c r="C24" i="21" s="1"/>
  <c r="D24" i="21" s="1"/>
  <c r="G23" i="19"/>
  <c r="H37" i="19"/>
  <c r="E22" i="33"/>
  <c r="D23" i="33"/>
  <c r="I32" i="32" s="1"/>
  <c r="G22" i="21" l="1"/>
  <c r="H22" i="21" s="1"/>
  <c r="K22" i="21"/>
  <c r="L22" i="21" s="1"/>
  <c r="D22" i="21"/>
  <c r="D26" i="21" s="1"/>
  <c r="H41" i="19"/>
  <c r="G37" i="19"/>
  <c r="F22" i="33"/>
  <c r="F23" i="33" s="1"/>
  <c r="E23" i="33"/>
  <c r="I33" i="32" s="1"/>
  <c r="I35" i="32" s="1"/>
  <c r="K24" i="21" l="1"/>
  <c r="L24" i="21" s="1"/>
  <c r="L26" i="21" s="1"/>
  <c r="G24" i="21"/>
  <c r="H24" i="21" s="1"/>
  <c r="H26" i="21" s="1"/>
  <c r="C27" i="21"/>
  <c r="P22" i="21"/>
  <c r="H45" i="19"/>
  <c r="G45" i="19" s="1"/>
  <c r="I18" i="6" s="1"/>
  <c r="G41" i="19"/>
  <c r="I24" i="32"/>
  <c r="I23" i="32" s="1"/>
  <c r="P24" i="21" l="1"/>
  <c r="O24" i="21" s="1"/>
  <c r="K27" i="21"/>
  <c r="G27" i="21"/>
  <c r="O22" i="21"/>
  <c r="I20" i="6"/>
  <c r="K18" i="6"/>
  <c r="I40" i="6"/>
  <c r="I47" i="32"/>
  <c r="P26" i="21" l="1"/>
  <c r="O27" i="21"/>
  <c r="I42" i="6"/>
  <c r="K40" i="6"/>
  <c r="N22" i="9"/>
  <c r="N10" i="44"/>
  <c r="K20" i="6"/>
  <c r="I24" i="6"/>
  <c r="V22" i="9" l="1"/>
  <c r="W22" i="9"/>
  <c r="N7" i="44"/>
  <c r="I27" i="6"/>
  <c r="K24" i="6"/>
  <c r="V36" i="9" s="1"/>
  <c r="I28" i="6"/>
  <c r="I29" i="6"/>
  <c r="N38" i="44"/>
  <c r="O35" i="44" s="1"/>
  <c r="N24" i="44"/>
  <c r="O21" i="44" s="1"/>
  <c r="O7" i="44"/>
  <c r="N45" i="44"/>
  <c r="O42" i="44" s="1"/>
  <c r="N52" i="44"/>
  <c r="O49" i="44" s="1"/>
  <c r="G2" i="12"/>
  <c r="N36" i="9"/>
  <c r="K42" i="6"/>
  <c r="I46" i="6"/>
  <c r="I49" i="6" s="1"/>
  <c r="R22" i="9"/>
  <c r="N17" i="44"/>
  <c r="N31" i="44" l="1"/>
  <c r="O28" i="44" s="1"/>
  <c r="O14" i="44"/>
  <c r="K46" i="6"/>
  <c r="W36" i="9" s="1"/>
  <c r="N14" i="44"/>
  <c r="I50" i="6"/>
  <c r="K28" i="6"/>
  <c r="V21" i="8" s="1"/>
  <c r="J21" i="8"/>
  <c r="J20" i="8"/>
  <c r="K27" i="6"/>
  <c r="V20" i="8" s="1"/>
  <c r="G10" i="12"/>
  <c r="R36" i="9"/>
  <c r="G14" i="12"/>
  <c r="M17" i="12" s="1"/>
  <c r="G18" i="12"/>
  <c r="M21" i="12" s="1"/>
  <c r="G6" i="12"/>
  <c r="M9" i="12" s="1"/>
  <c r="M5" i="12"/>
  <c r="J22" i="8"/>
  <c r="K29" i="6"/>
  <c r="V22" i="8" s="1"/>
  <c r="N49" i="44"/>
  <c r="P49" i="44" s="1"/>
  <c r="N21" i="44"/>
  <c r="P21" i="44" s="1"/>
  <c r="N35" i="44"/>
  <c r="P35" i="44" s="1"/>
  <c r="N6" i="44"/>
  <c r="P7" i="44"/>
  <c r="N42" i="44"/>
  <c r="P42" i="44" s="1"/>
  <c r="K49" i="6" l="1"/>
  <c r="V35" i="8" s="1"/>
  <c r="J35" i="8"/>
  <c r="N28" i="44"/>
  <c r="P28" i="44" s="1"/>
  <c r="P14" i="44"/>
  <c r="G26" i="12"/>
  <c r="M29" i="12" s="1"/>
  <c r="G30" i="12"/>
  <c r="M33" i="12" s="1"/>
  <c r="G22" i="12"/>
  <c r="M25" i="12" s="1"/>
  <c r="M13" i="12"/>
  <c r="K50" i="6"/>
  <c r="V36" i="8" s="1"/>
  <c r="J36" i="8"/>
</calcChain>
</file>

<file path=xl/comments1.xml><?xml version="1.0" encoding="utf-8"?>
<comments xmlns="http://schemas.openxmlformats.org/spreadsheetml/2006/main">
  <authors>
    <author>BuildAdmin</author>
  </authors>
  <commentList>
    <comment ref="E7" authorId="0">
      <text>
        <r>
          <rPr>
            <b/>
            <sz val="8"/>
            <color indexed="81"/>
            <rFont val="Tahoma"/>
            <family val="2"/>
          </rPr>
          <t>BuildAdmin:</t>
        </r>
        <r>
          <rPr>
            <sz val="8"/>
            <color indexed="81"/>
            <rFont val="Tahoma"/>
            <family val="2"/>
          </rPr>
          <t xml:space="preserve">
From tab WP B.1 TGT Annual Units of the Gas Supply Plan</t>
        </r>
      </text>
    </comment>
    <comment ref="F7" authorId="0">
      <text>
        <r>
          <rPr>
            <b/>
            <sz val="8"/>
            <color indexed="81"/>
            <rFont val="Tahoma"/>
            <family val="2"/>
          </rPr>
          <t>BuildAdmin:</t>
        </r>
        <r>
          <rPr>
            <sz val="8"/>
            <color indexed="81"/>
            <rFont val="Tahoma"/>
            <family val="2"/>
          </rPr>
          <t xml:space="preserve">
From the TGT - PDF YYYY.MM.DD pdf </t>
        </r>
      </text>
    </comment>
    <comment ref="F12" authorId="0">
      <text>
        <r>
          <rPr>
            <b/>
            <sz val="8"/>
            <color indexed="81"/>
            <rFont val="Tahoma"/>
            <family val="2"/>
          </rPr>
          <t>BuildAdmin:</t>
        </r>
        <r>
          <rPr>
            <sz val="8"/>
            <color indexed="81"/>
            <rFont val="Tahoma"/>
            <family val="2"/>
          </rPr>
          <t xml:space="preserve">
Texas Gas Transmission, 
Page 7 of 33 - Currently Effective Rates - NNS 
Section 4.4
Zone 2 - Daily Demand</t>
        </r>
      </text>
    </comment>
    <comment ref="F18" authorId="0">
      <text>
        <r>
          <rPr>
            <b/>
            <sz val="8"/>
            <color indexed="81"/>
            <rFont val="Tahoma"/>
            <family val="2"/>
          </rPr>
          <t>BuildAdmin:</t>
        </r>
        <r>
          <rPr>
            <sz val="8"/>
            <color indexed="81"/>
            <rFont val="Tahoma"/>
            <family val="2"/>
          </rPr>
          <t xml:space="preserve">
Texas Gas Transmission, 
Page 7 of 33 - Currently Effective Rates - NNS 
Section 4.4
Zone 3 - Daily Demand</t>
        </r>
      </text>
    </comment>
    <comment ref="F21" authorId="0">
      <text>
        <r>
          <rPr>
            <b/>
            <sz val="8"/>
            <color indexed="81"/>
            <rFont val="Tahoma"/>
            <family val="2"/>
          </rPr>
          <t>BuildAdmin:</t>
        </r>
        <r>
          <rPr>
            <sz val="8"/>
            <color indexed="81"/>
            <rFont val="Tahoma"/>
            <family val="2"/>
          </rPr>
          <t xml:space="preserve">
Texas Gas Transmission, 
Page 4 of 33 - Currently Effective Rates - FT 
Section 4.1
SL-3</t>
        </r>
      </text>
    </comment>
    <comment ref="F24" authorId="0">
      <text>
        <r>
          <rPr>
            <b/>
            <sz val="8"/>
            <color indexed="81"/>
            <rFont val="Tahoma"/>
            <family val="2"/>
          </rPr>
          <t>BuildAdmin:</t>
        </r>
        <r>
          <rPr>
            <sz val="8"/>
            <color indexed="81"/>
            <rFont val="Tahoma"/>
            <family val="2"/>
          </rPr>
          <t xml:space="preserve">
Texas Gas Transmission, 
Page 4 of 33 - Currently Effective Rates - FT 
Section 4.1
SL-3</t>
        </r>
      </text>
    </comment>
    <comment ref="F30" authorId="0">
      <text>
        <r>
          <rPr>
            <b/>
            <sz val="8"/>
            <color indexed="81"/>
            <rFont val="Tahoma"/>
            <family val="2"/>
          </rPr>
          <t>BuildAdmin:</t>
        </r>
        <r>
          <rPr>
            <sz val="8"/>
            <color indexed="81"/>
            <rFont val="Tahoma"/>
            <family val="2"/>
          </rPr>
          <t xml:space="preserve">
Texas Gas Transmission, 
Page 4 of 33 - Currently Effective Rates - FT 
Section 4.1
1-3</t>
        </r>
      </text>
    </comment>
    <comment ref="F36" authorId="0">
      <text>
        <r>
          <rPr>
            <b/>
            <sz val="8"/>
            <color indexed="81"/>
            <rFont val="Tahoma"/>
            <family val="2"/>
          </rPr>
          <t>BuildAdmin:</t>
        </r>
        <r>
          <rPr>
            <sz val="8"/>
            <color indexed="81"/>
            <rFont val="Tahoma"/>
            <family val="2"/>
          </rPr>
          <t xml:space="preserve">
Texas Gas Transmission, 
Page 7 of 33 - Currently Effective Rates - NNS 
Section 4.4
Zone 4 - Daily Demand</t>
        </r>
      </text>
    </comment>
    <comment ref="F39" authorId="0">
      <text>
        <r>
          <rPr>
            <b/>
            <sz val="8"/>
            <color indexed="81"/>
            <rFont val="Tahoma"/>
            <family val="2"/>
          </rPr>
          <t>BuildAdmin:</t>
        </r>
        <r>
          <rPr>
            <sz val="8"/>
            <color indexed="81"/>
            <rFont val="Tahoma"/>
            <family val="2"/>
          </rPr>
          <t xml:space="preserve">
Texas Gas Transmission, 
Page 3 of 33 - Currently Effective Rates - FT 
Section 4.1
SL-4</t>
        </r>
      </text>
    </comment>
    <comment ref="F42" authorId="0">
      <text>
        <r>
          <rPr>
            <b/>
            <sz val="8"/>
            <color indexed="81"/>
            <rFont val="Tahoma"/>
            <family val="2"/>
          </rPr>
          <t>BuildAdmin:</t>
        </r>
        <r>
          <rPr>
            <sz val="8"/>
            <color indexed="81"/>
            <rFont val="Tahoma"/>
            <family val="2"/>
          </rPr>
          <t xml:space="preserve">
Texas Gas Transmission, 
Page 3 of 33 - Currently Effective Rates - FT 
Section 4.1
SL-4</t>
        </r>
      </text>
    </comment>
    <comment ref="F48" authorId="0">
      <text>
        <r>
          <rPr>
            <b/>
            <sz val="8"/>
            <color indexed="81"/>
            <rFont val="Tahoma"/>
            <family val="2"/>
          </rPr>
          <t>BuildAdmin:</t>
        </r>
        <r>
          <rPr>
            <sz val="8"/>
            <color indexed="81"/>
            <rFont val="Tahoma"/>
            <family val="2"/>
          </rPr>
          <t xml:space="preserve">
Texas Gas Transmission, 
Page 4 of 33 - Currently Effective Rates - FT 
Section 4.1
2-4</t>
        </r>
      </text>
    </comment>
  </commentList>
</comments>
</file>

<file path=xl/comments10.xml><?xml version="1.0" encoding="utf-8"?>
<comments xmlns="http://schemas.openxmlformats.org/spreadsheetml/2006/main">
  <authors>
    <author>A satisfied Microsoft Office User</author>
  </authors>
  <commentList>
    <comment ref="C1" authorId="0">
      <text>
        <r>
          <rPr>
            <b/>
            <sz val="8"/>
            <color indexed="81"/>
            <rFont val="Tahoma"/>
            <family val="2"/>
          </rPr>
          <t>Linda Nave:</t>
        </r>
        <r>
          <rPr>
            <sz val="8"/>
            <color indexed="81"/>
            <rFont val="Tahoma"/>
            <family val="2"/>
          </rPr>
          <t xml:space="preserve">
total purchases, bottom box of Summer/Winter Plan
</t>
        </r>
      </text>
    </comment>
    <comment ref="B10" authorId="0">
      <text>
        <r>
          <rPr>
            <sz val="8"/>
            <color indexed="81"/>
            <rFont val="Tahoma"/>
            <family val="2"/>
          </rPr>
          <t xml:space="preserve">Gas Supply Plan Volumes
</t>
        </r>
      </text>
    </comment>
    <comment ref="F10" authorId="0">
      <text>
        <r>
          <rPr>
            <b/>
            <sz val="8"/>
            <color indexed="81"/>
            <rFont val="Tahoma"/>
            <family val="2"/>
          </rPr>
          <t>Gas Supply Plan Volumes</t>
        </r>
        <r>
          <rPr>
            <sz val="8"/>
            <color indexed="81"/>
            <rFont val="Tahoma"/>
            <family val="2"/>
          </rPr>
          <t xml:space="preserve">
</t>
        </r>
      </text>
    </comment>
    <comment ref="J10" authorId="0">
      <text>
        <r>
          <rPr>
            <b/>
            <sz val="8"/>
            <color indexed="81"/>
            <rFont val="Tahoma"/>
            <family val="2"/>
          </rPr>
          <t>Gas Supply Plan Volumes</t>
        </r>
      </text>
    </comment>
    <comment ref="G20" authorId="0">
      <text>
        <r>
          <rPr>
            <b/>
            <sz val="8"/>
            <color indexed="81"/>
            <rFont val="Tahoma"/>
            <family val="2"/>
          </rPr>
          <t>From AES Website</t>
        </r>
      </text>
    </comment>
    <comment ref="K20" authorId="0">
      <text>
        <r>
          <rPr>
            <b/>
            <sz val="8"/>
            <color indexed="81"/>
            <rFont val="Tahoma"/>
            <family val="2"/>
          </rPr>
          <t>From AES Website</t>
        </r>
      </text>
    </comment>
    <comment ref="C22" authorId="0">
      <text>
        <r>
          <rPr>
            <b/>
            <sz val="8"/>
            <color indexed="81"/>
            <rFont val="Tahoma"/>
            <family val="2"/>
          </rPr>
          <t>From Exhibit B</t>
        </r>
      </text>
    </comment>
    <comment ref="G22" authorId="0">
      <text>
        <r>
          <rPr>
            <b/>
            <sz val="8"/>
            <color indexed="81"/>
            <rFont val="Tahoma"/>
            <family val="2"/>
          </rPr>
          <t>Withdrawals:
  Storage Inventory
Injections:
  Market WACOG</t>
        </r>
      </text>
    </comment>
    <comment ref="C23" authorId="0">
      <text>
        <r>
          <rPr>
            <b/>
            <sz val="8"/>
            <color indexed="81"/>
            <rFont val="Tahoma"/>
            <family val="2"/>
          </rPr>
          <t>Withdrawals:
  Storage Inventory
Injections:
  Market WACOG</t>
        </r>
      </text>
    </comment>
    <comment ref="G23" authorId="0">
      <text>
        <r>
          <rPr>
            <b/>
            <sz val="8"/>
            <color indexed="81"/>
            <rFont val="Tahoma"/>
            <family val="2"/>
          </rPr>
          <t>Withdrawals:
  Storage Inventory
Injections:
  Market WACOG</t>
        </r>
      </text>
    </comment>
    <comment ref="C24" authorId="0">
      <text>
        <r>
          <rPr>
            <b/>
            <sz val="8"/>
            <color indexed="81"/>
            <rFont val="Tahoma"/>
            <family val="2"/>
          </rPr>
          <t>Withdrawals:
  Storage Inventory
Injections:
  Market WACOG</t>
        </r>
      </text>
    </comment>
    <comment ref="G24" authorId="0">
      <text>
        <r>
          <rPr>
            <b/>
            <sz val="8"/>
            <color indexed="81"/>
            <rFont val="Tahoma"/>
            <family val="2"/>
          </rPr>
          <t>Withdrawals:
  Storage Inventory
Injections:
  Market WACOG</t>
        </r>
      </text>
    </comment>
    <comment ref="H24" authorId="0">
      <text>
        <r>
          <rPr>
            <b/>
            <sz val="8"/>
            <color indexed="81"/>
            <rFont val="Tahoma"/>
            <family val="2"/>
          </rPr>
          <t>tmorel:</t>
        </r>
        <r>
          <rPr>
            <sz val="8"/>
            <color indexed="81"/>
            <rFont val="Tahoma"/>
            <family val="2"/>
          </rPr>
          <t xml:space="preserve">
Nymex - $0.20</t>
        </r>
      </text>
    </comment>
  </commentList>
</comments>
</file>

<file path=xl/comments11.xml><?xml version="1.0" encoding="utf-8"?>
<comments xmlns="http://schemas.openxmlformats.org/spreadsheetml/2006/main">
  <authors>
    <author>Jackson, Stellie S</author>
    <author>Judy Dunlap</author>
    <author>Nelson, Patricia A</author>
  </authors>
  <commentList>
    <comment ref="G24" authorId="0">
      <text>
        <r>
          <rPr>
            <b/>
            <sz val="8"/>
            <color indexed="81"/>
            <rFont val="Tahoma"/>
            <family val="2"/>
          </rPr>
          <t>Jackson, Stellie S:</t>
        </r>
        <r>
          <rPr>
            <sz val="8"/>
            <color indexed="81"/>
            <rFont val="Tahoma"/>
            <family val="2"/>
          </rPr>
          <t xml:space="preserve">
Source:  Tab D.1, column f, line17 of previous quarterly filing</t>
        </r>
      </text>
    </comment>
    <comment ref="G29" authorId="1">
      <text>
        <r>
          <rPr>
            <sz val="11"/>
            <color indexed="81"/>
            <rFont val="Arial"/>
            <family val="2"/>
          </rPr>
          <t>From Exhibit B Page 6 of 8</t>
        </r>
        <r>
          <rPr>
            <sz val="8"/>
            <color indexed="81"/>
            <rFont val="Tahoma"/>
            <family val="2"/>
          </rPr>
          <t xml:space="preserve">
</t>
        </r>
      </text>
    </comment>
    <comment ref="G35" authorId="1">
      <text>
        <r>
          <rPr>
            <sz val="11"/>
            <color indexed="81"/>
            <rFont val="Arial"/>
            <family val="2"/>
          </rPr>
          <t>From Exhibit B Page 6 of 8</t>
        </r>
        <r>
          <rPr>
            <sz val="8"/>
            <color indexed="81"/>
            <rFont val="Tahoma"/>
            <family val="2"/>
          </rPr>
          <t xml:space="preserve">
</t>
        </r>
      </text>
    </comment>
    <comment ref="G40" authorId="2">
      <text>
        <r>
          <rPr>
            <b/>
            <sz val="8"/>
            <color indexed="81"/>
            <rFont val="Tahoma"/>
            <family val="2"/>
          </rPr>
          <t>Nelson, Patricia A:</t>
        </r>
        <r>
          <rPr>
            <sz val="8"/>
            <color indexed="81"/>
            <rFont val="Tahoma"/>
            <family val="2"/>
          </rPr>
          <t xml:space="preserve">
This should tie to your 1910.14088 Recon ending balance.</t>
        </r>
      </text>
    </comment>
  </commentList>
</comments>
</file>

<file path=xl/comments12.xml><?xml version="1.0" encoding="utf-8"?>
<comments xmlns="http://schemas.openxmlformats.org/spreadsheetml/2006/main">
  <authors>
    <author>Victor Edwards</author>
  </authors>
  <commentList>
    <comment ref="D22" authorId="0">
      <text>
        <r>
          <rPr>
            <sz val="12"/>
            <color indexed="81"/>
            <rFont val="Tahoma"/>
            <family val="2"/>
          </rPr>
          <t>Acct 8081</t>
        </r>
      </text>
    </comment>
    <comment ref="F22" authorId="0">
      <text>
        <r>
          <rPr>
            <sz val="12"/>
            <color indexed="81"/>
            <rFont val="Tahoma"/>
            <family val="2"/>
          </rPr>
          <t>Acct 8081</t>
        </r>
      </text>
    </comment>
    <comment ref="H22" authorId="0">
      <text>
        <r>
          <rPr>
            <sz val="12"/>
            <color indexed="81"/>
            <rFont val="Tahoma"/>
            <family val="2"/>
          </rPr>
          <t>Acct 8081</t>
        </r>
      </text>
    </comment>
    <comment ref="D23" authorId="0">
      <text>
        <r>
          <rPr>
            <sz val="12"/>
            <color indexed="81"/>
            <rFont val="Tahoma"/>
            <family val="2"/>
          </rPr>
          <t>Acct 8082</t>
        </r>
      </text>
    </comment>
    <comment ref="F23" authorId="0">
      <text>
        <r>
          <rPr>
            <sz val="12"/>
            <color indexed="81"/>
            <rFont val="Tahoma"/>
            <family val="2"/>
          </rPr>
          <t>Acct 8082</t>
        </r>
      </text>
    </comment>
    <comment ref="H23" authorId="0">
      <text>
        <r>
          <rPr>
            <sz val="12"/>
            <color indexed="81"/>
            <rFont val="Tahoma"/>
            <family val="2"/>
          </rPr>
          <t>Acct 8082</t>
        </r>
      </text>
    </comment>
    <comment ref="D24" authorId="0">
      <text>
        <r>
          <rPr>
            <sz val="12"/>
            <color indexed="81"/>
            <rFont val="Tahoma"/>
            <family val="2"/>
          </rPr>
          <t>Acct 8010</t>
        </r>
      </text>
    </comment>
    <comment ref="F24" authorId="0">
      <text>
        <r>
          <rPr>
            <sz val="12"/>
            <color indexed="81"/>
            <rFont val="Tahoma"/>
            <family val="2"/>
          </rPr>
          <t>Acct 8010</t>
        </r>
      </text>
    </comment>
    <comment ref="H24" authorId="0">
      <text>
        <r>
          <rPr>
            <sz val="12"/>
            <color indexed="81"/>
            <rFont val="Tahoma"/>
            <family val="2"/>
          </rPr>
          <t>Acct 8010</t>
        </r>
      </text>
    </comment>
    <comment ref="D25" authorId="0">
      <text>
        <r>
          <rPr>
            <sz val="12"/>
            <color indexed="81"/>
            <rFont val="Tahoma"/>
            <family val="2"/>
          </rPr>
          <t>Acct 8050</t>
        </r>
      </text>
    </comment>
    <comment ref="F25" authorId="0">
      <text>
        <r>
          <rPr>
            <sz val="12"/>
            <color indexed="81"/>
            <rFont val="Tahoma"/>
            <family val="2"/>
          </rPr>
          <t>Acct 8050</t>
        </r>
      </text>
    </comment>
    <comment ref="H25" authorId="0">
      <text>
        <r>
          <rPr>
            <sz val="12"/>
            <color indexed="81"/>
            <rFont val="Tahoma"/>
            <family val="2"/>
          </rPr>
          <t>Acct 8050</t>
        </r>
      </text>
    </comment>
    <comment ref="D27" authorId="0">
      <text>
        <r>
          <rPr>
            <sz val="12"/>
            <color indexed="81"/>
            <rFont val="Tahoma"/>
            <family val="2"/>
          </rPr>
          <t xml:space="preserve">Acct 8060 + 8040.4740 (Cash-outs) + 8040.4774
</t>
        </r>
      </text>
    </comment>
    <comment ref="F27" authorId="0">
      <text>
        <r>
          <rPr>
            <sz val="12"/>
            <color indexed="81"/>
            <rFont val="Tahoma"/>
            <family val="2"/>
          </rPr>
          <t xml:space="preserve">Acct 8060 + 8040.4740 (Cash-outs) + 8040.4774
</t>
        </r>
      </text>
    </comment>
    <comment ref="H27" authorId="0">
      <text>
        <r>
          <rPr>
            <sz val="12"/>
            <color indexed="81"/>
            <rFont val="Tahoma"/>
            <family val="2"/>
          </rPr>
          <t xml:space="preserve">Acct 8060 + 8040.4740 (Cash-outs) + 8040.4774
</t>
        </r>
      </text>
    </comment>
  </commentList>
</comments>
</file>

<file path=xl/comments13.xml><?xml version="1.0" encoding="utf-8"?>
<comments xmlns="http://schemas.openxmlformats.org/spreadsheetml/2006/main">
  <authors>
    <author>Victor Edwards</author>
    <author>Nelson, Patricia A</author>
  </authors>
  <commentList>
    <comment ref="D12" authorId="0">
      <text>
        <r>
          <rPr>
            <sz val="8"/>
            <color indexed="81"/>
            <rFont val="Tahoma"/>
            <family val="2"/>
          </rPr>
          <t>Acct 8580 except East Diamond</t>
        </r>
      </text>
    </comment>
    <comment ref="F12" authorId="0">
      <text>
        <r>
          <rPr>
            <sz val="8"/>
            <color indexed="81"/>
            <rFont val="Tahoma"/>
            <family val="2"/>
          </rPr>
          <t>Acct 8580 except East Diamond</t>
        </r>
      </text>
    </comment>
    <comment ref="H12" authorId="0">
      <text>
        <r>
          <rPr>
            <sz val="8"/>
            <color indexed="81"/>
            <rFont val="Tahoma"/>
            <family val="2"/>
          </rPr>
          <t>Acct 8580 except East Diamond</t>
        </r>
      </text>
    </comment>
    <comment ref="D13" authorId="0">
      <text>
        <r>
          <rPr>
            <sz val="8"/>
            <color indexed="81"/>
            <rFont val="Tahoma"/>
            <family val="2"/>
          </rPr>
          <t xml:space="preserve">Acct 8580 </t>
        </r>
      </text>
    </comment>
    <comment ref="F13" authorId="0">
      <text>
        <r>
          <rPr>
            <sz val="8"/>
            <color indexed="81"/>
            <rFont val="Tahoma"/>
            <family val="2"/>
          </rPr>
          <t xml:space="preserve">Acct 8580 </t>
        </r>
      </text>
    </comment>
    <comment ref="H13" authorId="0">
      <text>
        <r>
          <rPr>
            <sz val="8"/>
            <color indexed="81"/>
            <rFont val="Tahoma"/>
            <family val="2"/>
          </rPr>
          <t xml:space="preserve">Acct 8580 </t>
        </r>
      </text>
    </comment>
    <comment ref="D14" authorId="0">
      <text>
        <r>
          <rPr>
            <sz val="8"/>
            <color indexed="81"/>
            <rFont val="Tahoma"/>
            <family val="2"/>
          </rPr>
          <t xml:space="preserve">Acct 8580 </t>
        </r>
      </text>
    </comment>
    <comment ref="F14" authorId="0">
      <text>
        <r>
          <rPr>
            <sz val="8"/>
            <color indexed="81"/>
            <rFont val="Tahoma"/>
            <family val="2"/>
          </rPr>
          <t xml:space="preserve">Acct 8580 </t>
        </r>
      </text>
    </comment>
    <comment ref="H14" authorId="0">
      <text>
        <r>
          <rPr>
            <sz val="8"/>
            <color indexed="81"/>
            <rFont val="Tahoma"/>
            <family val="2"/>
          </rPr>
          <t xml:space="preserve">Acct 8580 </t>
        </r>
      </text>
    </comment>
    <comment ref="D15" authorId="0">
      <text>
        <r>
          <rPr>
            <sz val="8"/>
            <color indexed="81"/>
            <rFont val="Tahoma"/>
            <family val="2"/>
          </rPr>
          <t xml:space="preserve">Acct 8580 </t>
        </r>
      </text>
    </comment>
    <comment ref="F15" authorId="0">
      <text>
        <r>
          <rPr>
            <sz val="8"/>
            <color indexed="81"/>
            <rFont val="Tahoma"/>
            <family val="2"/>
          </rPr>
          <t xml:space="preserve">Acct 8580 </t>
        </r>
      </text>
    </comment>
    <comment ref="H15" authorId="0">
      <text>
        <r>
          <rPr>
            <sz val="8"/>
            <color indexed="81"/>
            <rFont val="Tahoma"/>
            <family val="2"/>
          </rPr>
          <t xml:space="preserve">Acct 8580 </t>
        </r>
      </text>
    </comment>
    <comment ref="D16" authorId="0">
      <text>
        <r>
          <rPr>
            <sz val="8"/>
            <color indexed="81"/>
            <rFont val="Tahoma"/>
            <family val="2"/>
          </rPr>
          <t xml:space="preserve">Acct 8580 </t>
        </r>
      </text>
    </comment>
    <comment ref="F16" authorId="0">
      <text>
        <r>
          <rPr>
            <sz val="8"/>
            <color indexed="81"/>
            <rFont val="Tahoma"/>
            <family val="2"/>
          </rPr>
          <t xml:space="preserve">Acct 8580 </t>
        </r>
      </text>
    </comment>
    <comment ref="H16" authorId="0">
      <text>
        <r>
          <rPr>
            <sz val="8"/>
            <color indexed="81"/>
            <rFont val="Tahoma"/>
            <family val="2"/>
          </rPr>
          <t xml:space="preserve">Acct 8580 </t>
        </r>
      </text>
    </comment>
    <comment ref="D17" authorId="0">
      <text>
        <r>
          <rPr>
            <sz val="8"/>
            <color indexed="81"/>
            <rFont val="Tahoma"/>
            <family val="2"/>
          </rPr>
          <t>Total Acct 8580 except East Diamond</t>
        </r>
      </text>
    </comment>
    <comment ref="F17" authorId="0">
      <text>
        <r>
          <rPr>
            <sz val="8"/>
            <color indexed="81"/>
            <rFont val="Tahoma"/>
            <family val="2"/>
          </rPr>
          <t>Total Acct 8580 except East Diamond</t>
        </r>
      </text>
    </comment>
    <comment ref="H17" authorId="0">
      <text>
        <r>
          <rPr>
            <sz val="8"/>
            <color indexed="81"/>
            <rFont val="Tahoma"/>
            <family val="2"/>
          </rPr>
          <t>Total Acct 8580 except East Diamond</t>
        </r>
      </text>
    </comment>
    <comment ref="D18" authorId="1">
      <text>
        <r>
          <rPr>
            <b/>
            <sz val="8"/>
            <color indexed="81"/>
            <rFont val="Tahoma"/>
            <family val="2"/>
          </rPr>
          <t>Nelson, Patricia A:</t>
        </r>
        <r>
          <rPr>
            <sz val="8"/>
            <color indexed="81"/>
            <rFont val="Tahoma"/>
            <family val="2"/>
          </rPr>
          <t xml:space="preserve">
Total Acct 8040.4751</t>
        </r>
      </text>
    </comment>
    <comment ref="F18" authorId="1">
      <text>
        <r>
          <rPr>
            <b/>
            <sz val="8"/>
            <color indexed="81"/>
            <rFont val="Tahoma"/>
            <family val="2"/>
          </rPr>
          <t>Nelson, Patricia A:</t>
        </r>
        <r>
          <rPr>
            <sz val="8"/>
            <color indexed="81"/>
            <rFont val="Tahoma"/>
            <family val="2"/>
          </rPr>
          <t xml:space="preserve">
Total Acct 8040.4751</t>
        </r>
      </text>
    </comment>
    <comment ref="H18" authorId="1">
      <text>
        <r>
          <rPr>
            <b/>
            <sz val="8"/>
            <color indexed="81"/>
            <rFont val="Tahoma"/>
            <family val="2"/>
          </rPr>
          <t>Nelson, Patricia A:</t>
        </r>
        <r>
          <rPr>
            <sz val="8"/>
            <color indexed="81"/>
            <rFont val="Tahoma"/>
            <family val="2"/>
          </rPr>
          <t xml:space="preserve">
Total Acct 8040.4751</t>
        </r>
      </text>
    </comment>
    <comment ref="D19" authorId="0">
      <text>
        <r>
          <rPr>
            <sz val="12"/>
            <color indexed="81"/>
            <rFont val="Tahoma"/>
            <family val="2"/>
          </rPr>
          <t>Acct 8001</t>
        </r>
      </text>
    </comment>
    <comment ref="F19" authorId="0">
      <text>
        <r>
          <rPr>
            <sz val="12"/>
            <color indexed="81"/>
            <rFont val="Tahoma"/>
            <family val="2"/>
          </rPr>
          <t>Acct 8001</t>
        </r>
      </text>
    </comment>
    <comment ref="H19" authorId="0">
      <text>
        <r>
          <rPr>
            <sz val="12"/>
            <color indexed="81"/>
            <rFont val="Tahoma"/>
            <family val="2"/>
          </rPr>
          <t>Acct 8001</t>
        </r>
      </text>
    </comment>
    <comment ref="D23" authorId="0">
      <text>
        <r>
          <rPr>
            <sz val="12"/>
            <color indexed="81"/>
            <rFont val="Tahoma"/>
            <family val="2"/>
          </rPr>
          <t xml:space="preserve">Acct 8580 (Only East Diamond)
</t>
        </r>
      </text>
    </comment>
    <comment ref="F23" authorId="0">
      <text>
        <r>
          <rPr>
            <sz val="12"/>
            <color indexed="81"/>
            <rFont val="Tahoma"/>
            <family val="2"/>
          </rPr>
          <t xml:space="preserve">Acct 8580 (Only East Diamond)
</t>
        </r>
      </text>
    </comment>
    <comment ref="H23" authorId="0">
      <text>
        <r>
          <rPr>
            <sz val="12"/>
            <color indexed="81"/>
            <rFont val="Tahoma"/>
            <family val="2"/>
          </rPr>
          <t xml:space="preserve">Acct 8580 (Only East Diamond)
</t>
        </r>
      </text>
    </comment>
    <comment ref="D25" authorId="0">
      <text>
        <r>
          <rPr>
            <sz val="12"/>
            <color indexed="81"/>
            <rFont val="Tahoma"/>
            <family val="2"/>
          </rPr>
          <t>Acct 8081</t>
        </r>
      </text>
    </comment>
    <comment ref="F25" authorId="0">
      <text>
        <r>
          <rPr>
            <sz val="12"/>
            <color indexed="81"/>
            <rFont val="Tahoma"/>
            <family val="2"/>
          </rPr>
          <t>Acct 8081</t>
        </r>
      </text>
    </comment>
    <comment ref="H25" authorId="0">
      <text>
        <r>
          <rPr>
            <sz val="12"/>
            <color indexed="81"/>
            <rFont val="Tahoma"/>
            <family val="2"/>
          </rPr>
          <t>Acct 8081</t>
        </r>
      </text>
    </comment>
    <comment ref="D26" authorId="0">
      <text>
        <r>
          <rPr>
            <sz val="12"/>
            <color indexed="81"/>
            <rFont val="Tahoma"/>
            <family val="2"/>
          </rPr>
          <t>Acct 8082</t>
        </r>
      </text>
    </comment>
    <comment ref="F26" authorId="0">
      <text>
        <r>
          <rPr>
            <sz val="12"/>
            <color indexed="81"/>
            <rFont val="Tahoma"/>
            <family val="2"/>
          </rPr>
          <t>Acct 8082</t>
        </r>
      </text>
    </comment>
    <comment ref="H26" authorId="0">
      <text>
        <r>
          <rPr>
            <sz val="12"/>
            <color indexed="81"/>
            <rFont val="Tahoma"/>
            <family val="2"/>
          </rPr>
          <t>Acct 8082</t>
        </r>
      </text>
    </comment>
    <comment ref="D27" authorId="0">
      <text>
        <r>
          <rPr>
            <sz val="12"/>
            <color indexed="81"/>
            <rFont val="Tahoma"/>
            <family val="2"/>
          </rPr>
          <t>Acct 8010</t>
        </r>
      </text>
    </comment>
    <comment ref="F27" authorId="0">
      <text>
        <r>
          <rPr>
            <sz val="12"/>
            <color indexed="81"/>
            <rFont val="Tahoma"/>
            <family val="2"/>
          </rPr>
          <t>Acct 8010</t>
        </r>
      </text>
    </comment>
    <comment ref="H27" authorId="0">
      <text>
        <r>
          <rPr>
            <sz val="12"/>
            <color indexed="81"/>
            <rFont val="Tahoma"/>
            <family val="2"/>
          </rPr>
          <t>Acct 8010</t>
        </r>
      </text>
    </comment>
    <comment ref="D28" authorId="0">
      <text>
        <r>
          <rPr>
            <sz val="12"/>
            <color indexed="81"/>
            <rFont val="Tahoma"/>
            <family val="2"/>
          </rPr>
          <t>Acct 8050</t>
        </r>
      </text>
    </comment>
    <comment ref="F28" authorId="0">
      <text>
        <r>
          <rPr>
            <sz val="12"/>
            <color indexed="81"/>
            <rFont val="Tahoma"/>
            <family val="2"/>
          </rPr>
          <t>Acct 8050</t>
        </r>
      </text>
    </comment>
    <comment ref="H28" authorId="0">
      <text>
        <r>
          <rPr>
            <sz val="12"/>
            <color indexed="81"/>
            <rFont val="Tahoma"/>
            <family val="2"/>
          </rPr>
          <t>Acct 8050</t>
        </r>
      </text>
    </comment>
    <comment ref="D30" authorId="0">
      <text>
        <r>
          <rPr>
            <sz val="12"/>
            <color indexed="81"/>
            <rFont val="Tahoma"/>
            <family val="2"/>
          </rPr>
          <t xml:space="preserve">Acct 8060 + 8040.4740 (Cash-outs) + 8040.4774
</t>
        </r>
      </text>
    </comment>
    <comment ref="F30" authorId="0">
      <text>
        <r>
          <rPr>
            <sz val="12"/>
            <color indexed="81"/>
            <rFont val="Tahoma"/>
            <family val="2"/>
          </rPr>
          <t xml:space="preserve">Acct 8060 + 8040.4740 (Cash-outs) + 8040.4774
</t>
        </r>
      </text>
    </comment>
    <comment ref="H30" authorId="0">
      <text>
        <r>
          <rPr>
            <sz val="12"/>
            <color indexed="81"/>
            <rFont val="Tahoma"/>
            <family val="2"/>
          </rPr>
          <t xml:space="preserve">Acct 8060 + 8040.4740 (Cash-outs) + 8040.4774
</t>
        </r>
      </text>
    </comment>
    <comment ref="D36" authorId="1">
      <text>
        <r>
          <rPr>
            <b/>
            <sz val="8"/>
            <color indexed="81"/>
            <rFont val="Tahoma"/>
            <family val="2"/>
          </rPr>
          <t>Nelson, Patricia A:</t>
        </r>
        <r>
          <rPr>
            <sz val="8"/>
            <color indexed="81"/>
            <rFont val="Tahoma"/>
            <family val="2"/>
          </rPr>
          <t xml:space="preserve">
These Total Gas Costs are used in the 1910.14088 Recon Rpt.</t>
        </r>
      </text>
    </comment>
    <comment ref="F36" authorId="1">
      <text>
        <r>
          <rPr>
            <b/>
            <sz val="8"/>
            <color indexed="81"/>
            <rFont val="Tahoma"/>
            <family val="2"/>
          </rPr>
          <t>Nelson, Patricia A:</t>
        </r>
        <r>
          <rPr>
            <sz val="8"/>
            <color indexed="81"/>
            <rFont val="Tahoma"/>
            <family val="2"/>
          </rPr>
          <t xml:space="preserve">
These Total Gas Costs are used in the 1910.14088 Recon Rpt.</t>
        </r>
      </text>
    </comment>
    <comment ref="H36" authorId="1">
      <text>
        <r>
          <rPr>
            <b/>
            <sz val="8"/>
            <color indexed="81"/>
            <rFont val="Tahoma"/>
            <family val="2"/>
          </rPr>
          <t>Nelson, Patricia A:</t>
        </r>
        <r>
          <rPr>
            <sz val="8"/>
            <color indexed="81"/>
            <rFont val="Tahoma"/>
            <family val="2"/>
          </rPr>
          <t xml:space="preserve">
These Total Gas Costs are used in the 1910.14088 Recon Rpt.</t>
        </r>
      </text>
    </comment>
  </commentList>
</comments>
</file>

<file path=xl/comments14.xml><?xml version="1.0" encoding="utf-8"?>
<comments xmlns="http://schemas.openxmlformats.org/spreadsheetml/2006/main">
  <authors>
    <author>Jackson, Stellie S</author>
    <author>BuildAdmin</author>
    <author>Nelson, Patricia A</author>
    <author>Stellie S Jackson</author>
    <author>Judy Dunlap</author>
  </authors>
  <commentList>
    <comment ref="A3" authorId="0">
      <text>
        <r>
          <rPr>
            <b/>
            <sz val="8"/>
            <color indexed="81"/>
            <rFont val="Tahoma"/>
            <family val="2"/>
          </rPr>
          <t>Jackson, Stellie S:</t>
        </r>
        <r>
          <rPr>
            <sz val="8"/>
            <color indexed="81"/>
            <rFont val="Tahoma"/>
            <family val="2"/>
          </rPr>
          <t xml:space="preserve">
Update Date Prior to Analysis in GCA Exhibit D_Page 4&gt;</t>
        </r>
        <r>
          <rPr>
            <b/>
            <u/>
            <sz val="8"/>
            <color indexed="81"/>
            <rFont val="Tahoma"/>
            <family val="2"/>
          </rPr>
          <t>W:\Rate Administration\5-Jurisdictional Files\Kentucky\GCA Filing\Current Filing\Support\KY-Exhibit Pages</t>
        </r>
      </text>
    </comment>
    <comment ref="L12" authorId="1">
      <text>
        <r>
          <rPr>
            <b/>
            <sz val="8"/>
            <color indexed="81"/>
            <rFont val="Tahoma"/>
            <family val="2"/>
          </rPr>
          <t>BuildAdmin:</t>
        </r>
        <r>
          <rPr>
            <sz val="8"/>
            <color indexed="81"/>
            <rFont val="Tahoma"/>
            <family val="2"/>
          </rPr>
          <t xml:space="preserve">
</t>
        </r>
      </text>
    </comment>
    <comment ref="F13" authorId="2">
      <text>
        <r>
          <rPr>
            <b/>
            <sz val="8"/>
            <color indexed="81"/>
            <rFont val="Tahoma"/>
            <family val="2"/>
          </rPr>
          <t>Nelson, Patricia A:</t>
        </r>
        <r>
          <rPr>
            <sz val="8"/>
            <color indexed="81"/>
            <rFont val="Tahoma"/>
            <family val="2"/>
          </rPr>
          <t xml:space="preserve">
Total Recovery Entry
</t>
        </r>
      </text>
    </comment>
    <comment ref="H13" authorId="2">
      <text>
        <r>
          <rPr>
            <b/>
            <sz val="8"/>
            <color indexed="81"/>
            <rFont val="Tahoma"/>
            <family val="2"/>
          </rPr>
          <t>Nelson, Patricia A:</t>
        </r>
        <r>
          <rPr>
            <sz val="8"/>
            <color indexed="81"/>
            <rFont val="Tahoma"/>
            <family val="2"/>
          </rPr>
          <t xml:space="preserve">
Total Recovery Entry
</t>
        </r>
      </text>
    </comment>
    <comment ref="J13" authorId="2">
      <text>
        <r>
          <rPr>
            <b/>
            <sz val="8"/>
            <color indexed="81"/>
            <rFont val="Tahoma"/>
            <family val="2"/>
          </rPr>
          <t>Nelson, Patricia A:</t>
        </r>
        <r>
          <rPr>
            <sz val="8"/>
            <color indexed="81"/>
            <rFont val="Tahoma"/>
            <family val="2"/>
          </rPr>
          <t xml:space="preserve">
Total Recovery Entry
</t>
        </r>
      </text>
    </comment>
    <comment ref="L13" authorId="2">
      <text>
        <r>
          <rPr>
            <b/>
            <sz val="8"/>
            <color indexed="81"/>
            <rFont val="Tahoma"/>
            <family val="2"/>
          </rPr>
          <t>Nelson, Patricia A:</t>
        </r>
        <r>
          <rPr>
            <sz val="8"/>
            <color indexed="81"/>
            <rFont val="Tahoma"/>
            <family val="2"/>
          </rPr>
          <t xml:space="preserve">
Total Recovery Entry
</t>
        </r>
      </text>
    </comment>
    <comment ref="P13" authorId="3">
      <text>
        <r>
          <rPr>
            <b/>
            <sz val="9"/>
            <color indexed="81"/>
            <rFont val="Tahoma"/>
            <family val="2"/>
          </rPr>
          <t>Stellie S Jackson:</t>
        </r>
        <r>
          <rPr>
            <sz val="9"/>
            <color indexed="81"/>
            <rFont val="Tahoma"/>
            <family val="2"/>
          </rPr>
          <t xml:space="preserve">
Volumes and Dollars were not billed during the month of February. A Total 1910 Estimate of $19,624,730.34 ($19,111,111.88 - 1910.14088) was booked in February, and the difference between the Estimate and the Actual billed amount was reversed in March, after customers were billed.</t>
        </r>
      </text>
    </comment>
    <comment ref="F20" authorId="2">
      <text>
        <r>
          <rPr>
            <b/>
            <sz val="8"/>
            <color indexed="81"/>
            <rFont val="Tahoma"/>
            <family val="2"/>
          </rPr>
          <t>Nelson, Patricia A:</t>
        </r>
        <r>
          <rPr>
            <sz val="8"/>
            <color indexed="81"/>
            <rFont val="Tahoma"/>
            <family val="2"/>
          </rPr>
          <t xml:space="preserve">
Total Recovery Entry
</t>
        </r>
      </text>
    </comment>
    <comment ref="H20" authorId="2">
      <text>
        <r>
          <rPr>
            <b/>
            <sz val="8"/>
            <color indexed="81"/>
            <rFont val="Tahoma"/>
            <family val="2"/>
          </rPr>
          <t>Nelson, Patricia A:</t>
        </r>
        <r>
          <rPr>
            <sz val="8"/>
            <color indexed="81"/>
            <rFont val="Tahoma"/>
            <family val="2"/>
          </rPr>
          <t xml:space="preserve">
Total Recovery Entry
</t>
        </r>
      </text>
    </comment>
    <comment ref="J20" authorId="2">
      <text>
        <r>
          <rPr>
            <b/>
            <sz val="8"/>
            <color indexed="81"/>
            <rFont val="Tahoma"/>
            <family val="2"/>
          </rPr>
          <t>Nelson, Patricia A:</t>
        </r>
        <r>
          <rPr>
            <sz val="8"/>
            <color indexed="81"/>
            <rFont val="Tahoma"/>
            <family val="2"/>
          </rPr>
          <t xml:space="preserve">
Total Recovery Entry
</t>
        </r>
      </text>
    </comment>
    <comment ref="L20" authorId="2">
      <text>
        <r>
          <rPr>
            <b/>
            <sz val="8"/>
            <color indexed="81"/>
            <rFont val="Tahoma"/>
            <family val="2"/>
          </rPr>
          <t>Nelson, Patricia A:</t>
        </r>
        <r>
          <rPr>
            <sz val="8"/>
            <color indexed="81"/>
            <rFont val="Tahoma"/>
            <family val="2"/>
          </rPr>
          <t xml:space="preserve">
Total Recovery Entry
</t>
        </r>
      </text>
    </comment>
    <comment ref="P20" authorId="3">
      <text>
        <r>
          <rPr>
            <b/>
            <sz val="9"/>
            <color indexed="81"/>
            <rFont val="Tahoma"/>
            <family val="2"/>
          </rPr>
          <t>Stellie S Jackson:</t>
        </r>
        <r>
          <rPr>
            <sz val="9"/>
            <color indexed="81"/>
            <rFont val="Tahoma"/>
            <family val="2"/>
          </rPr>
          <t xml:space="preserve">
Volumes and Dollars were not billed during the month of February were booked to March then reversed after bills were issued. A Total 1910 Estimate of $20,368,868.56 ($19,838,610.13 - 1910.14088) was booked in March, and difference was reversed in March.</t>
        </r>
      </text>
    </comment>
    <comment ref="F27" authorId="2">
      <text>
        <r>
          <rPr>
            <b/>
            <sz val="8"/>
            <color indexed="81"/>
            <rFont val="Tahoma"/>
            <family val="2"/>
          </rPr>
          <t>Nelson, Patricia A:</t>
        </r>
        <r>
          <rPr>
            <sz val="8"/>
            <color indexed="81"/>
            <rFont val="Tahoma"/>
            <family val="2"/>
          </rPr>
          <t xml:space="preserve">
Total Recovery Entry
</t>
        </r>
      </text>
    </comment>
    <comment ref="H27" authorId="2">
      <text>
        <r>
          <rPr>
            <b/>
            <sz val="8"/>
            <color indexed="81"/>
            <rFont val="Tahoma"/>
            <family val="2"/>
          </rPr>
          <t>Nelson, Patricia A:</t>
        </r>
        <r>
          <rPr>
            <sz val="8"/>
            <color indexed="81"/>
            <rFont val="Tahoma"/>
            <family val="2"/>
          </rPr>
          <t xml:space="preserve">
Total Recovery Entry
</t>
        </r>
      </text>
    </comment>
    <comment ref="J27" authorId="2">
      <text>
        <r>
          <rPr>
            <b/>
            <sz val="8"/>
            <color indexed="81"/>
            <rFont val="Tahoma"/>
            <family val="2"/>
          </rPr>
          <t>Nelson, Patricia A:</t>
        </r>
        <r>
          <rPr>
            <sz val="8"/>
            <color indexed="81"/>
            <rFont val="Tahoma"/>
            <family val="2"/>
          </rPr>
          <t xml:space="preserve">
Total Recovery Entry
</t>
        </r>
      </text>
    </comment>
    <comment ref="L27" authorId="2">
      <text>
        <r>
          <rPr>
            <b/>
            <sz val="8"/>
            <color indexed="81"/>
            <rFont val="Tahoma"/>
            <family val="2"/>
          </rPr>
          <t>Nelson, Patricia A:</t>
        </r>
        <r>
          <rPr>
            <sz val="8"/>
            <color indexed="81"/>
            <rFont val="Tahoma"/>
            <family val="2"/>
          </rPr>
          <t xml:space="preserve">
Total Recovery Entry
</t>
        </r>
      </text>
    </comment>
    <comment ref="F30" authorId="4">
      <text>
        <r>
          <rPr>
            <sz val="12"/>
            <color indexed="81"/>
            <rFont val="Arial"/>
            <family val="2"/>
          </rPr>
          <t>To D1, Line 18, Column (f)</t>
        </r>
      </text>
    </comment>
  </commentList>
</comments>
</file>

<file path=xl/comments15.xml><?xml version="1.0" encoding="utf-8"?>
<comments xmlns="http://schemas.openxmlformats.org/spreadsheetml/2006/main">
  <authors>
    <author>Nelson, Patricia A</author>
    <author>Jackson, Stellie S</author>
  </authors>
  <commentList>
    <comment ref="D16" authorId="0">
      <text>
        <r>
          <rPr>
            <b/>
            <sz val="8"/>
            <color indexed="81"/>
            <rFont val="Tahoma"/>
            <family val="2"/>
          </rPr>
          <t>Nelson, Patricia A:</t>
        </r>
        <r>
          <rPr>
            <sz val="8"/>
            <color indexed="81"/>
            <rFont val="Tahoma"/>
            <family val="2"/>
          </rPr>
          <t xml:space="preserve">
Acct 8040.4751</t>
        </r>
      </text>
    </comment>
    <comment ref="F16" authorId="0">
      <text>
        <r>
          <rPr>
            <b/>
            <sz val="8"/>
            <color indexed="81"/>
            <rFont val="Tahoma"/>
            <family val="2"/>
          </rPr>
          <t>Nelson, Patricia A:</t>
        </r>
        <r>
          <rPr>
            <sz val="8"/>
            <color indexed="81"/>
            <rFont val="Tahoma"/>
            <family val="2"/>
          </rPr>
          <t xml:space="preserve">
Acct 8040.4751</t>
        </r>
      </text>
    </comment>
    <comment ref="H16" authorId="0">
      <text>
        <r>
          <rPr>
            <b/>
            <sz val="8"/>
            <color indexed="81"/>
            <rFont val="Tahoma"/>
            <family val="2"/>
          </rPr>
          <t>Nelson, Patricia A:</t>
        </r>
        <r>
          <rPr>
            <sz val="8"/>
            <color indexed="81"/>
            <rFont val="Tahoma"/>
            <family val="2"/>
          </rPr>
          <t xml:space="preserve">
Acct 8040.4751</t>
        </r>
      </text>
    </comment>
    <comment ref="J16" authorId="0">
      <text>
        <r>
          <rPr>
            <b/>
            <sz val="8"/>
            <color indexed="81"/>
            <rFont val="Tahoma"/>
            <family val="2"/>
          </rPr>
          <t>Nelson, Patricia A:</t>
        </r>
        <r>
          <rPr>
            <sz val="8"/>
            <color indexed="81"/>
            <rFont val="Tahoma"/>
            <family val="2"/>
          </rPr>
          <t xml:space="preserve">
Acct 8040.4751</t>
        </r>
      </text>
    </comment>
    <comment ref="L16" authorId="0">
      <text>
        <r>
          <rPr>
            <b/>
            <sz val="8"/>
            <color indexed="81"/>
            <rFont val="Tahoma"/>
            <family val="2"/>
          </rPr>
          <t>Nelson, Patricia A:</t>
        </r>
        <r>
          <rPr>
            <sz val="8"/>
            <color indexed="81"/>
            <rFont val="Tahoma"/>
            <family val="2"/>
          </rPr>
          <t xml:space="preserve">
Acct 8040.4751</t>
        </r>
      </text>
    </comment>
    <comment ref="N16" authorId="0">
      <text>
        <r>
          <rPr>
            <b/>
            <sz val="8"/>
            <color indexed="81"/>
            <rFont val="Tahoma"/>
            <family val="2"/>
          </rPr>
          <t>Nelson, Patricia A:</t>
        </r>
        <r>
          <rPr>
            <sz val="8"/>
            <color indexed="81"/>
            <rFont val="Tahoma"/>
            <family val="2"/>
          </rPr>
          <t xml:space="preserve">
Acct 8040.4751</t>
        </r>
      </text>
    </comment>
    <comment ref="L27" authorId="1">
      <text>
        <r>
          <rPr>
            <b/>
            <sz val="8"/>
            <color indexed="81"/>
            <rFont val="Tahoma"/>
            <family val="2"/>
          </rPr>
          <t>Jackson, Stellie S:</t>
        </r>
        <r>
          <rPr>
            <sz val="8"/>
            <color indexed="81"/>
            <rFont val="Tahoma"/>
            <family val="2"/>
          </rPr>
          <t xml:space="preserve">
Chevron Natural Gas, A Division OF Chevron U.S.A. Inc.
</t>
        </r>
      </text>
    </comment>
    <comment ref="N27" authorId="1">
      <text>
        <r>
          <rPr>
            <b/>
            <sz val="8"/>
            <color indexed="81"/>
            <rFont val="Tahoma"/>
            <family val="2"/>
          </rPr>
          <t>Jackson, Stellie S:</t>
        </r>
        <r>
          <rPr>
            <sz val="8"/>
            <color indexed="81"/>
            <rFont val="Tahoma"/>
            <family val="2"/>
          </rPr>
          <t xml:space="preserve">
Jackson, Stellie S:
Chevron Natural Gas, A Division OF Chevron U.S.A. Inc.</t>
        </r>
      </text>
    </comment>
    <comment ref="D28" authorId="0">
      <text>
        <r>
          <rPr>
            <b/>
            <sz val="8"/>
            <color indexed="81"/>
            <rFont val="Tahoma"/>
            <family val="2"/>
          </rPr>
          <t>Nelson, Patricia A:</t>
        </r>
        <r>
          <rPr>
            <sz val="8"/>
            <color indexed="81"/>
            <rFont val="Tahoma"/>
            <family val="2"/>
          </rPr>
          <t xml:space="preserve">
Acct 8040.4751</t>
        </r>
      </text>
    </comment>
    <comment ref="F28" authorId="0">
      <text>
        <r>
          <rPr>
            <b/>
            <sz val="8"/>
            <color indexed="81"/>
            <rFont val="Tahoma"/>
            <family val="2"/>
          </rPr>
          <t>Nelson, Patricia A:</t>
        </r>
        <r>
          <rPr>
            <sz val="8"/>
            <color indexed="81"/>
            <rFont val="Tahoma"/>
            <family val="2"/>
          </rPr>
          <t xml:space="preserve">
Acct 8040.4751</t>
        </r>
      </text>
    </comment>
    <comment ref="H28" authorId="0">
      <text>
        <r>
          <rPr>
            <b/>
            <sz val="8"/>
            <color indexed="81"/>
            <rFont val="Tahoma"/>
            <family val="2"/>
          </rPr>
          <t>Nelson, Patricia A:</t>
        </r>
        <r>
          <rPr>
            <sz val="8"/>
            <color indexed="81"/>
            <rFont val="Tahoma"/>
            <family val="2"/>
          </rPr>
          <t xml:space="preserve">
Acct 8040.4751</t>
        </r>
      </text>
    </comment>
    <comment ref="J28" authorId="0">
      <text>
        <r>
          <rPr>
            <b/>
            <sz val="8"/>
            <color indexed="81"/>
            <rFont val="Tahoma"/>
            <family val="2"/>
          </rPr>
          <t>Nelson, Patricia A:</t>
        </r>
        <r>
          <rPr>
            <sz val="8"/>
            <color indexed="81"/>
            <rFont val="Tahoma"/>
            <family val="2"/>
          </rPr>
          <t xml:space="preserve">
Acct 8040.4751</t>
        </r>
      </text>
    </comment>
    <comment ref="L28" authorId="0">
      <text>
        <r>
          <rPr>
            <b/>
            <sz val="8"/>
            <color indexed="81"/>
            <rFont val="Tahoma"/>
            <family val="2"/>
          </rPr>
          <t>Nelson, Patricia A:</t>
        </r>
        <r>
          <rPr>
            <sz val="8"/>
            <color indexed="81"/>
            <rFont val="Tahoma"/>
            <family val="2"/>
          </rPr>
          <t xml:space="preserve">
Acct 8040.4751</t>
        </r>
      </text>
    </comment>
    <comment ref="N28" authorId="0">
      <text>
        <r>
          <rPr>
            <b/>
            <sz val="8"/>
            <color indexed="81"/>
            <rFont val="Tahoma"/>
            <family val="2"/>
          </rPr>
          <t>Nelson, Patricia A:</t>
        </r>
        <r>
          <rPr>
            <sz val="8"/>
            <color indexed="81"/>
            <rFont val="Tahoma"/>
            <family val="2"/>
          </rPr>
          <t xml:space="preserve">
Acct 8040.4751</t>
        </r>
      </text>
    </comment>
    <comment ref="D38" authorId="0">
      <text>
        <r>
          <rPr>
            <b/>
            <sz val="8"/>
            <color indexed="81"/>
            <rFont val="Tahoma"/>
            <family val="2"/>
          </rPr>
          <t>Nelson, Patricia A:</t>
        </r>
        <r>
          <rPr>
            <sz val="8"/>
            <color indexed="81"/>
            <rFont val="Tahoma"/>
            <family val="2"/>
          </rPr>
          <t xml:space="preserve">
Acct 8040.4751</t>
        </r>
      </text>
    </comment>
    <comment ref="F38" authorId="0">
      <text>
        <r>
          <rPr>
            <b/>
            <sz val="8"/>
            <color indexed="81"/>
            <rFont val="Tahoma"/>
            <family val="2"/>
          </rPr>
          <t>Nelson, Patricia A:</t>
        </r>
        <r>
          <rPr>
            <sz val="8"/>
            <color indexed="81"/>
            <rFont val="Tahoma"/>
            <family val="2"/>
          </rPr>
          <t xml:space="preserve">
Acct 8040.4751</t>
        </r>
      </text>
    </comment>
    <comment ref="H38" authorId="0">
      <text>
        <r>
          <rPr>
            <b/>
            <sz val="8"/>
            <color indexed="81"/>
            <rFont val="Tahoma"/>
            <family val="2"/>
          </rPr>
          <t>Nelson, Patricia A:</t>
        </r>
        <r>
          <rPr>
            <sz val="8"/>
            <color indexed="81"/>
            <rFont val="Tahoma"/>
            <family val="2"/>
          </rPr>
          <t xml:space="preserve">
Acct 8040.4751</t>
        </r>
      </text>
    </comment>
    <comment ref="J38" authorId="0">
      <text>
        <r>
          <rPr>
            <b/>
            <sz val="8"/>
            <color indexed="81"/>
            <rFont val="Tahoma"/>
            <family val="2"/>
          </rPr>
          <t>Nelson, Patricia A:</t>
        </r>
        <r>
          <rPr>
            <sz val="8"/>
            <color indexed="81"/>
            <rFont val="Tahoma"/>
            <family val="2"/>
          </rPr>
          <t xml:space="preserve">
Acct 8040.4751</t>
        </r>
      </text>
    </comment>
    <comment ref="L38" authorId="0">
      <text>
        <r>
          <rPr>
            <b/>
            <sz val="8"/>
            <color indexed="81"/>
            <rFont val="Tahoma"/>
            <family val="2"/>
          </rPr>
          <t>Nelson, Patricia A:</t>
        </r>
        <r>
          <rPr>
            <sz val="8"/>
            <color indexed="81"/>
            <rFont val="Tahoma"/>
            <family val="2"/>
          </rPr>
          <t xml:space="preserve">
Acct 8040.4751</t>
        </r>
      </text>
    </comment>
    <comment ref="N38" authorId="0">
      <text>
        <r>
          <rPr>
            <b/>
            <sz val="8"/>
            <color indexed="81"/>
            <rFont val="Tahoma"/>
            <family val="2"/>
          </rPr>
          <t>Nelson, Patricia A:</t>
        </r>
        <r>
          <rPr>
            <sz val="8"/>
            <color indexed="81"/>
            <rFont val="Tahoma"/>
            <family val="2"/>
          </rPr>
          <t xml:space="preserve">
Acct 8040.4751</t>
        </r>
      </text>
    </comment>
    <comment ref="D49" authorId="0">
      <text>
        <r>
          <rPr>
            <b/>
            <sz val="8"/>
            <color indexed="81"/>
            <rFont val="Tahoma"/>
            <family val="2"/>
          </rPr>
          <t>Nelson, Patricia A:</t>
        </r>
        <r>
          <rPr>
            <sz val="8"/>
            <color indexed="81"/>
            <rFont val="Tahoma"/>
            <family val="2"/>
          </rPr>
          <t xml:space="preserve">
Acct 8040.4751</t>
        </r>
      </text>
    </comment>
    <comment ref="F49" authorId="0">
      <text>
        <r>
          <rPr>
            <b/>
            <sz val="8"/>
            <color indexed="81"/>
            <rFont val="Tahoma"/>
            <family val="2"/>
          </rPr>
          <t>Nelson, Patricia A:</t>
        </r>
        <r>
          <rPr>
            <sz val="8"/>
            <color indexed="81"/>
            <rFont val="Tahoma"/>
            <family val="2"/>
          </rPr>
          <t xml:space="preserve">
Acct 8040.4751</t>
        </r>
      </text>
    </comment>
    <comment ref="H49" authorId="0">
      <text>
        <r>
          <rPr>
            <b/>
            <sz val="8"/>
            <color indexed="81"/>
            <rFont val="Tahoma"/>
            <family val="2"/>
          </rPr>
          <t>Nelson, Patricia A:</t>
        </r>
        <r>
          <rPr>
            <sz val="8"/>
            <color indexed="81"/>
            <rFont val="Tahoma"/>
            <family val="2"/>
          </rPr>
          <t xml:space="preserve">
Acct 8040.4751</t>
        </r>
      </text>
    </comment>
    <comment ref="J49" authorId="0">
      <text>
        <r>
          <rPr>
            <b/>
            <sz val="8"/>
            <color indexed="81"/>
            <rFont val="Tahoma"/>
            <family val="2"/>
          </rPr>
          <t>Nelson, Patricia A:</t>
        </r>
        <r>
          <rPr>
            <sz val="8"/>
            <color indexed="81"/>
            <rFont val="Tahoma"/>
            <family val="2"/>
          </rPr>
          <t xml:space="preserve">
Acct 8040.4751</t>
        </r>
      </text>
    </comment>
    <comment ref="L49" authorId="0">
      <text>
        <r>
          <rPr>
            <b/>
            <sz val="8"/>
            <color indexed="81"/>
            <rFont val="Tahoma"/>
            <family val="2"/>
          </rPr>
          <t>Nelson, Patricia A:</t>
        </r>
        <r>
          <rPr>
            <sz val="8"/>
            <color indexed="81"/>
            <rFont val="Tahoma"/>
            <family val="2"/>
          </rPr>
          <t xml:space="preserve">
Acct 8040.4751</t>
        </r>
      </text>
    </comment>
    <comment ref="N49" authorId="0">
      <text>
        <r>
          <rPr>
            <b/>
            <sz val="8"/>
            <color indexed="81"/>
            <rFont val="Tahoma"/>
            <family val="2"/>
          </rPr>
          <t>Nelson, Patricia A:</t>
        </r>
        <r>
          <rPr>
            <sz val="8"/>
            <color indexed="81"/>
            <rFont val="Tahoma"/>
            <family val="2"/>
          </rPr>
          <t xml:space="preserve">
Acct 8040.4751</t>
        </r>
      </text>
    </comment>
    <comment ref="D70" authorId="0">
      <text>
        <r>
          <rPr>
            <b/>
            <sz val="8"/>
            <color indexed="81"/>
            <rFont val="Tahoma"/>
            <family val="2"/>
          </rPr>
          <t>Nelson, Patricia A:</t>
        </r>
        <r>
          <rPr>
            <sz val="8"/>
            <color indexed="81"/>
            <rFont val="Tahoma"/>
            <family val="2"/>
          </rPr>
          <t xml:space="preserve">
Total  Acct 8040.4751</t>
        </r>
      </text>
    </comment>
    <comment ref="F70" authorId="0">
      <text>
        <r>
          <rPr>
            <b/>
            <sz val="8"/>
            <color indexed="81"/>
            <rFont val="Tahoma"/>
            <family val="2"/>
          </rPr>
          <t>Nelson, Patricia A:</t>
        </r>
        <r>
          <rPr>
            <sz val="8"/>
            <color indexed="81"/>
            <rFont val="Tahoma"/>
            <family val="2"/>
          </rPr>
          <t xml:space="preserve">
Total  Acct 8040.4751</t>
        </r>
      </text>
    </comment>
    <comment ref="H70" authorId="0">
      <text>
        <r>
          <rPr>
            <b/>
            <sz val="8"/>
            <color indexed="81"/>
            <rFont val="Tahoma"/>
            <family val="2"/>
          </rPr>
          <t>Nelson, Patricia A:</t>
        </r>
        <r>
          <rPr>
            <sz val="8"/>
            <color indexed="81"/>
            <rFont val="Tahoma"/>
            <family val="2"/>
          </rPr>
          <t xml:space="preserve">
Total  Acct 8040.4751</t>
        </r>
      </text>
    </comment>
    <comment ref="J70" authorId="0">
      <text>
        <r>
          <rPr>
            <b/>
            <sz val="8"/>
            <color indexed="81"/>
            <rFont val="Tahoma"/>
            <family val="2"/>
          </rPr>
          <t>Nelson, Patricia A:</t>
        </r>
        <r>
          <rPr>
            <sz val="8"/>
            <color indexed="81"/>
            <rFont val="Tahoma"/>
            <family val="2"/>
          </rPr>
          <t xml:space="preserve">
Total  Acct 8040.4751</t>
        </r>
      </text>
    </comment>
    <comment ref="L70" authorId="0">
      <text>
        <r>
          <rPr>
            <b/>
            <sz val="8"/>
            <color indexed="81"/>
            <rFont val="Tahoma"/>
            <family val="2"/>
          </rPr>
          <t>Nelson, Patricia A:</t>
        </r>
        <r>
          <rPr>
            <sz val="8"/>
            <color indexed="81"/>
            <rFont val="Tahoma"/>
            <family val="2"/>
          </rPr>
          <t xml:space="preserve">
Total  Acct 8040.4751</t>
        </r>
      </text>
    </comment>
    <comment ref="N70" authorId="0">
      <text>
        <r>
          <rPr>
            <b/>
            <sz val="8"/>
            <color indexed="81"/>
            <rFont val="Tahoma"/>
            <family val="2"/>
          </rPr>
          <t>Nelson, Patricia A:</t>
        </r>
        <r>
          <rPr>
            <sz val="8"/>
            <color indexed="81"/>
            <rFont val="Tahoma"/>
            <family val="2"/>
          </rPr>
          <t xml:space="preserve">
Total  Acct 8040.4751</t>
        </r>
      </text>
    </comment>
    <comment ref="D145" authorId="0">
      <text>
        <r>
          <rPr>
            <b/>
            <sz val="8"/>
            <color indexed="81"/>
            <rFont val="Tahoma"/>
            <family val="2"/>
          </rPr>
          <t>Nelson, Patricia A:</t>
        </r>
        <r>
          <rPr>
            <sz val="8"/>
            <color indexed="81"/>
            <rFont val="Tahoma"/>
            <family val="2"/>
          </rPr>
          <t xml:space="preserve">
Total Acct 8040.4751</t>
        </r>
      </text>
    </comment>
    <comment ref="F145" authorId="0">
      <text>
        <r>
          <rPr>
            <b/>
            <sz val="8"/>
            <color indexed="81"/>
            <rFont val="Tahoma"/>
            <family val="2"/>
          </rPr>
          <t>Nelson, Patricia A:</t>
        </r>
        <r>
          <rPr>
            <sz val="8"/>
            <color indexed="81"/>
            <rFont val="Tahoma"/>
            <family val="2"/>
          </rPr>
          <t xml:space="preserve">
Total Acct 8040.4751</t>
        </r>
      </text>
    </comment>
    <comment ref="H145" authorId="0">
      <text>
        <r>
          <rPr>
            <b/>
            <sz val="8"/>
            <color indexed="81"/>
            <rFont val="Tahoma"/>
            <family val="2"/>
          </rPr>
          <t>Nelson, Patricia A:</t>
        </r>
        <r>
          <rPr>
            <sz val="8"/>
            <color indexed="81"/>
            <rFont val="Tahoma"/>
            <family val="2"/>
          </rPr>
          <t xml:space="preserve">
Total Acct 8040.4751</t>
        </r>
      </text>
    </comment>
    <comment ref="J145" authorId="0">
      <text>
        <r>
          <rPr>
            <b/>
            <sz val="8"/>
            <color indexed="81"/>
            <rFont val="Tahoma"/>
            <family val="2"/>
          </rPr>
          <t>Nelson, Patricia A:</t>
        </r>
        <r>
          <rPr>
            <sz val="8"/>
            <color indexed="81"/>
            <rFont val="Tahoma"/>
            <family val="2"/>
          </rPr>
          <t xml:space="preserve">
Total Acct 8040.4751</t>
        </r>
      </text>
    </comment>
    <comment ref="L145" authorId="0">
      <text>
        <r>
          <rPr>
            <b/>
            <sz val="8"/>
            <color indexed="81"/>
            <rFont val="Tahoma"/>
            <family val="2"/>
          </rPr>
          <t>Nelson, Patricia A:</t>
        </r>
        <r>
          <rPr>
            <sz val="8"/>
            <color indexed="81"/>
            <rFont val="Tahoma"/>
            <family val="2"/>
          </rPr>
          <t xml:space="preserve">
Total Acct 8040.4751</t>
        </r>
      </text>
    </comment>
    <comment ref="N145" authorId="0">
      <text>
        <r>
          <rPr>
            <b/>
            <sz val="8"/>
            <color indexed="81"/>
            <rFont val="Tahoma"/>
            <family val="2"/>
          </rPr>
          <t>Nelson, Patricia A:</t>
        </r>
        <r>
          <rPr>
            <sz val="8"/>
            <color indexed="81"/>
            <rFont val="Tahoma"/>
            <family val="2"/>
          </rPr>
          <t xml:space="preserve">
Total Acct 8040.4751</t>
        </r>
      </text>
    </comment>
  </commentList>
</comments>
</file>

<file path=xl/comments16.xml><?xml version="1.0" encoding="utf-8"?>
<comments xmlns="http://schemas.openxmlformats.org/spreadsheetml/2006/main">
  <authors>
    <author>Victor Edwards</author>
  </authors>
  <commentList>
    <comment ref="K16" authorId="0">
      <text>
        <r>
          <rPr>
            <sz val="8"/>
            <color indexed="81"/>
            <rFont val="Tahoma"/>
            <family val="2"/>
          </rPr>
          <t>Since Interest Rates are so low; the calculation yields -.25%. Leah Faulkner (PSC) agrees to use 0.</t>
        </r>
      </text>
    </comment>
  </commentList>
</comments>
</file>

<file path=xl/comments17.xml><?xml version="1.0" encoding="utf-8"?>
<comments xmlns="http://schemas.openxmlformats.org/spreadsheetml/2006/main">
  <authors>
    <author>Judy Dunlap</author>
  </authors>
  <commentList>
    <comment ref="I10" authorId="0">
      <text>
        <r>
          <rPr>
            <sz val="11"/>
            <color indexed="81"/>
            <rFont val="Arial"/>
            <family val="2"/>
          </rPr>
          <t>From the Gas Supply Report</t>
        </r>
      </text>
    </comment>
    <comment ref="I11" authorId="0">
      <text>
        <r>
          <rPr>
            <b/>
            <sz val="11"/>
            <color indexed="81"/>
            <rFont val="Arial"/>
            <family val="2"/>
          </rPr>
          <t>From the PBR Database tab 2010-2011 from the Balance column (column G)</t>
        </r>
        <r>
          <rPr>
            <sz val="8"/>
            <color indexed="81"/>
            <rFont val="Tahoma"/>
            <family val="2"/>
          </rPr>
          <t xml:space="preserve">
</t>
        </r>
      </text>
    </comment>
  </commentList>
</comments>
</file>

<file path=xl/comments18.xml><?xml version="1.0" encoding="utf-8"?>
<comments xmlns="http://schemas.openxmlformats.org/spreadsheetml/2006/main">
  <authors>
    <author>Judy Dunlap</author>
    <author>BuildAdmin</author>
    <author>Jackson, Stellie S</author>
  </authors>
  <commentList>
    <comment ref="H6" authorId="0">
      <text>
        <r>
          <rPr>
            <b/>
            <sz val="8"/>
            <color indexed="81"/>
            <rFont val="Tahoma"/>
            <family val="2"/>
          </rPr>
          <t>Judy Dunlap:</t>
        </r>
        <r>
          <rPr>
            <sz val="8"/>
            <color indexed="81"/>
            <rFont val="Tahoma"/>
            <family val="2"/>
          </rPr>
          <t xml:space="preserve">
From the Final PBR Savings report thru Oct from Gas Supply</t>
        </r>
      </text>
    </comment>
    <comment ref="H7" authorId="1">
      <text>
        <r>
          <rPr>
            <b/>
            <sz val="8"/>
            <color indexed="81"/>
            <rFont val="Tahoma"/>
            <family val="2"/>
          </rPr>
          <t>BuildAdmin:</t>
        </r>
        <r>
          <rPr>
            <sz val="8"/>
            <color indexed="81"/>
            <rFont val="Tahoma"/>
            <family val="2"/>
          </rPr>
          <t xml:space="preserve">
Balance from column (g) Line 16 from February 1, GCA filing 2-years Prior</t>
        </r>
      </text>
    </comment>
    <comment ref="C18" authorId="0">
      <text>
        <r>
          <rPr>
            <b/>
            <sz val="8"/>
            <color indexed="81"/>
            <rFont val="Tahoma"/>
            <family val="2"/>
          </rPr>
          <t>Judy Dunlap:</t>
        </r>
        <r>
          <rPr>
            <sz val="8"/>
            <color indexed="81"/>
            <rFont val="Tahoma"/>
            <family val="2"/>
          </rPr>
          <t xml:space="preserve">
From PGA recovery database- Recovery MCF(1910.805x)
8XXX.4775
</t>
        </r>
      </text>
    </comment>
    <comment ref="D18" authorId="2">
      <text>
        <r>
          <rPr>
            <b/>
            <sz val="8"/>
            <color indexed="81"/>
            <rFont val="Tahoma"/>
            <family val="2"/>
          </rPr>
          <t>Jackson, Stellie S:</t>
        </r>
        <r>
          <rPr>
            <sz val="8"/>
            <color indexed="81"/>
            <rFont val="Tahoma"/>
            <family val="2"/>
          </rPr>
          <t xml:space="preserve">
PBR&gt;PY Filing Tab D.4</t>
        </r>
      </text>
    </comment>
    <comment ref="F18" authorId="0">
      <text>
        <r>
          <rPr>
            <b/>
            <sz val="8"/>
            <color indexed="81"/>
            <rFont val="Tahoma"/>
            <family val="2"/>
          </rPr>
          <t>Judy Dunlap:</t>
        </r>
        <r>
          <rPr>
            <sz val="8"/>
            <color indexed="81"/>
            <rFont val="Tahoma"/>
            <family val="2"/>
          </rPr>
          <t xml:space="preserve">
Amount from Recoveries (JE) file - 1910 (KY) tab minus amount in column D</t>
        </r>
      </text>
    </comment>
    <comment ref="J18" authorId="0">
      <text>
        <r>
          <rPr>
            <b/>
            <sz val="8"/>
            <color indexed="81"/>
            <rFont val="Tahoma"/>
            <family val="2"/>
          </rPr>
          <t>Judy Dunlap:</t>
        </r>
        <r>
          <rPr>
            <sz val="8"/>
            <color indexed="81"/>
            <rFont val="Tahoma"/>
            <family val="2"/>
          </rPr>
          <t xml:space="preserve">
From Gas Supply monthly report Atmos KY Share</t>
        </r>
      </text>
    </comment>
  </commentList>
</comments>
</file>

<file path=xl/comments19.xml><?xml version="1.0" encoding="utf-8"?>
<comments xmlns="http://schemas.openxmlformats.org/spreadsheetml/2006/main">
  <authors>
    <author>Judy Dunlap</author>
  </authors>
  <commentList>
    <comment ref="B35" authorId="0">
      <text>
        <r>
          <rPr>
            <b/>
            <sz val="8"/>
            <color indexed="81"/>
            <rFont val="Tahoma"/>
            <family val="2"/>
          </rPr>
          <t>Judy Dunlap:</t>
        </r>
        <r>
          <rPr>
            <sz val="8"/>
            <color indexed="81"/>
            <rFont val="Tahoma"/>
            <family val="2"/>
          </rPr>
          <t xml:space="preserve">
Keyed in from Gas Supply's Monthly PBR Savings report (K. Griffith)</t>
        </r>
      </text>
    </comment>
    <comment ref="C35" authorId="0">
      <text>
        <r>
          <rPr>
            <b/>
            <sz val="8"/>
            <color indexed="81"/>
            <rFont val="Tahoma"/>
            <family val="2"/>
          </rPr>
          <t>Judy Dunlap:</t>
        </r>
        <r>
          <rPr>
            <sz val="8"/>
            <color indexed="81"/>
            <rFont val="Tahoma"/>
            <family val="2"/>
          </rPr>
          <t xml:space="preserve">
Keyed in from Gas Supply's monthly PBR savings report (K. Griffith)</t>
        </r>
      </text>
    </comment>
    <comment ref="B36" authorId="0">
      <text>
        <r>
          <rPr>
            <b/>
            <sz val="8"/>
            <color indexed="81"/>
            <rFont val="Tahoma"/>
            <family val="2"/>
          </rPr>
          <t>Judy Dunlap:</t>
        </r>
        <r>
          <rPr>
            <sz val="8"/>
            <color indexed="81"/>
            <rFont val="Tahoma"/>
            <family val="2"/>
          </rPr>
          <t xml:space="preserve">
Keyed in from Gas Supply's Monthly PBR Savings report (K. Griffith)</t>
        </r>
      </text>
    </comment>
    <comment ref="C36" authorId="0">
      <text>
        <r>
          <rPr>
            <b/>
            <sz val="8"/>
            <color indexed="81"/>
            <rFont val="Tahoma"/>
            <family val="2"/>
          </rPr>
          <t>Judy Dunlap:</t>
        </r>
        <r>
          <rPr>
            <sz val="8"/>
            <color indexed="81"/>
            <rFont val="Tahoma"/>
            <family val="2"/>
          </rPr>
          <t xml:space="preserve">
Keyed in from Gas Supply's monthly PBR savings report (K. Griffith)</t>
        </r>
      </text>
    </comment>
    <comment ref="B37" authorId="0">
      <text>
        <r>
          <rPr>
            <b/>
            <sz val="8"/>
            <color indexed="81"/>
            <rFont val="Tahoma"/>
            <family val="2"/>
          </rPr>
          <t>Judy Dunlap:</t>
        </r>
        <r>
          <rPr>
            <sz val="8"/>
            <color indexed="81"/>
            <rFont val="Tahoma"/>
            <family val="2"/>
          </rPr>
          <t xml:space="preserve">
Keyed in from Gas Supply's Monthly PBR Savings report (K. Griffith)</t>
        </r>
      </text>
    </comment>
    <comment ref="C37" authorId="0">
      <text>
        <r>
          <rPr>
            <b/>
            <sz val="8"/>
            <color indexed="81"/>
            <rFont val="Tahoma"/>
            <family val="2"/>
          </rPr>
          <t>Judy Dunlap:</t>
        </r>
        <r>
          <rPr>
            <sz val="8"/>
            <color indexed="81"/>
            <rFont val="Tahoma"/>
            <family val="2"/>
          </rPr>
          <t xml:space="preserve">
Keyed in from Gas Supply's monthly PBR savings report (K. Griffith)</t>
        </r>
      </text>
    </comment>
    <comment ref="B38" authorId="0">
      <text>
        <r>
          <rPr>
            <b/>
            <sz val="8"/>
            <color indexed="81"/>
            <rFont val="Tahoma"/>
            <family val="2"/>
          </rPr>
          <t>Judy Dunlap:</t>
        </r>
        <r>
          <rPr>
            <sz val="8"/>
            <color indexed="81"/>
            <rFont val="Tahoma"/>
            <family val="2"/>
          </rPr>
          <t xml:space="preserve">
Keyed in from Gas Supply's Monthly PBR Savings report (K. Griffith)</t>
        </r>
      </text>
    </comment>
    <comment ref="C38" authorId="0">
      <text>
        <r>
          <rPr>
            <b/>
            <sz val="8"/>
            <color indexed="81"/>
            <rFont val="Tahoma"/>
            <family val="2"/>
          </rPr>
          <t>Judy Dunlap:</t>
        </r>
        <r>
          <rPr>
            <sz val="8"/>
            <color indexed="81"/>
            <rFont val="Tahoma"/>
            <family val="2"/>
          </rPr>
          <t xml:space="preserve">
Keyed in from Gas Supply's monthly PBR savings report (K. Griffith)</t>
        </r>
      </text>
    </comment>
  </commentList>
</comments>
</file>

<file path=xl/comments2.xml><?xml version="1.0" encoding="utf-8"?>
<comments xmlns="http://schemas.openxmlformats.org/spreadsheetml/2006/main">
  <authors>
    <author>BuildAdmin</author>
  </authors>
  <commentList>
    <comment ref="E7" authorId="0">
      <text>
        <r>
          <rPr>
            <b/>
            <sz val="8"/>
            <color indexed="81"/>
            <rFont val="Tahoma"/>
            <family val="2"/>
          </rPr>
          <t>BuildAdmin:</t>
        </r>
        <r>
          <rPr>
            <sz val="8"/>
            <color indexed="81"/>
            <rFont val="Tahoma"/>
            <family val="2"/>
          </rPr>
          <t xml:space="preserve">
From tab WP B.2 TGP Annual Units of the Gas Supply Plan</t>
        </r>
      </text>
    </comment>
    <comment ref="F7" authorId="0">
      <text>
        <r>
          <rPr>
            <b/>
            <sz val="8"/>
            <color indexed="81"/>
            <rFont val="Tahoma"/>
            <family val="2"/>
          </rPr>
          <t>BuildAdmin:</t>
        </r>
        <r>
          <rPr>
            <sz val="8"/>
            <color indexed="81"/>
            <rFont val="Tahoma"/>
            <family val="2"/>
          </rPr>
          <t xml:space="preserve">
From the TGP - PDF YYYY.MM.DD pdf </t>
        </r>
      </text>
    </comment>
    <comment ref="F13" authorId="0">
      <text>
        <r>
          <rPr>
            <b/>
            <sz val="8"/>
            <color indexed="81"/>
            <rFont val="Tahoma"/>
            <family val="2"/>
          </rPr>
          <t>BuildAdmin:</t>
        </r>
        <r>
          <rPr>
            <sz val="8"/>
            <color indexed="81"/>
            <rFont val="Tahoma"/>
            <family val="2"/>
          </rPr>
          <t xml:space="preserve">
Tennessee Gas Pipeline, 
Page 25 of 524 - 
Firm Transportation Rates - Rate Schedule for FT-G
Sheet No. 23
Base Reservation Rates
Delivery Zone - 0, Receipt Zone -2 </t>
        </r>
      </text>
    </comment>
    <comment ref="F16" authorId="0">
      <text>
        <r>
          <rPr>
            <b/>
            <sz val="8"/>
            <color indexed="81"/>
            <rFont val="Tahoma"/>
            <family val="2"/>
          </rPr>
          <t>BuildAdmin:</t>
        </r>
        <r>
          <rPr>
            <sz val="8"/>
            <color indexed="81"/>
            <rFont val="Tahoma"/>
            <family val="2"/>
          </rPr>
          <t xml:space="preserve">
Tennessee Gas Pipeline, 
Page 15 of 524 - 
Firm Transportation Rates - Rate Schedule for FT-A
Sheet No. 14
Base Reservation Rates
Delivery Zone - 0, Receipt Zone -2</t>
        </r>
      </text>
    </comment>
    <comment ref="F19" authorId="0">
      <text>
        <r>
          <rPr>
            <b/>
            <sz val="8"/>
            <color indexed="81"/>
            <rFont val="Tahoma"/>
            <family val="2"/>
          </rPr>
          <t>BuildAdmin:</t>
        </r>
        <r>
          <rPr>
            <sz val="8"/>
            <color indexed="81"/>
            <rFont val="Tahoma"/>
            <family val="2"/>
          </rPr>
          <t xml:space="preserve">
Tennessee Gas Pipeline, 
Page 15 of 524 - 
Firm Transportation Rates - Rate Schedule for FT-A
Sheet No. 14
Base Reservation Rates
Delivery Zone - 0, Receipt Zone -2</t>
        </r>
      </text>
    </comment>
    <comment ref="F25" authorId="0">
      <text>
        <r>
          <rPr>
            <b/>
            <sz val="8"/>
            <color indexed="81"/>
            <rFont val="Tahoma"/>
            <family val="2"/>
          </rPr>
          <t>BuildAdmin:</t>
        </r>
        <r>
          <rPr>
            <sz val="8"/>
            <color indexed="81"/>
            <rFont val="Tahoma"/>
            <family val="2"/>
          </rPr>
          <t xml:space="preserve">
Tennessee Gas Pipeline, 
Page 15 of 524 - 
Firm Transportation Rates - Rate Schedule for FT-A
Sheet No. 14
Base Reservation Rates
Delivery Zone - 1, Receipt Zone -2</t>
        </r>
      </text>
    </comment>
    <comment ref="F31" authorId="0">
      <text>
        <r>
          <rPr>
            <b/>
            <sz val="8"/>
            <color indexed="81"/>
            <rFont val="Tahoma"/>
            <family val="2"/>
          </rPr>
          <t>BuildAdmin:</t>
        </r>
        <r>
          <rPr>
            <sz val="8"/>
            <color indexed="81"/>
            <rFont val="Tahoma"/>
            <family val="2"/>
          </rPr>
          <t xml:space="preserve">
Tennessee Gas Pipeline, 
Page 45 of 524 - 
Firm Storage Service - Rate Schedule for FS
Sheet No. 61
Firm Storage Service (FS) - Production Area
Deliverability Rate, Base Tariff Rate
</t>
        </r>
      </text>
    </comment>
    <comment ref="F32" authorId="0">
      <text>
        <r>
          <rPr>
            <b/>
            <sz val="8"/>
            <color indexed="81"/>
            <rFont val="Tahoma"/>
            <family val="2"/>
          </rPr>
          <t>BuildAdmin:</t>
        </r>
        <r>
          <rPr>
            <sz val="8"/>
            <color indexed="81"/>
            <rFont val="Tahoma"/>
            <family val="2"/>
          </rPr>
          <t xml:space="preserve">
Tennessee Gas Pipeline, 
Page 45 of 524 - 
Firm Storage Service - Rate Schedule for FS
Sheet No. 61
Firm Storage Service (FS) - Production Area
Space Rate, Base Tariff Rate</t>
        </r>
      </text>
    </comment>
    <comment ref="F34" authorId="0">
      <text>
        <r>
          <rPr>
            <b/>
            <sz val="8"/>
            <color indexed="81"/>
            <rFont val="Tahoma"/>
            <family val="2"/>
          </rPr>
          <t>BuildAdmin:</t>
        </r>
        <r>
          <rPr>
            <sz val="8"/>
            <color indexed="81"/>
            <rFont val="Tahoma"/>
            <family val="2"/>
          </rPr>
          <t xml:space="preserve">
Tennessee Gas Pipeline, 
Page 45 of 524 - 
Firm Storage Service - Rate Schedule for FS
Sheet No. 61
Firm Storage Service (FS) - Market Area
Deliverability Rate, Base Tariff Rate</t>
        </r>
      </text>
    </comment>
    <comment ref="F35" authorId="0">
      <text>
        <r>
          <rPr>
            <b/>
            <sz val="8"/>
            <color indexed="81"/>
            <rFont val="Tahoma"/>
            <family val="2"/>
          </rPr>
          <t>BuildAdmin:</t>
        </r>
        <r>
          <rPr>
            <sz val="8"/>
            <color indexed="81"/>
            <rFont val="Tahoma"/>
            <family val="2"/>
          </rPr>
          <t xml:space="preserve">
Tennessee Gas Pipeline, 
Page 45 of 524 - 
Firm Storage Service - Rate Schedule for FS
Sheet No. 61
Firm Storage Service (FS) - Market Area
Space Rate, Base Tariff Rate</t>
        </r>
      </text>
    </comment>
  </commentList>
</comments>
</file>

<file path=xl/comments3.xml><?xml version="1.0" encoding="utf-8"?>
<comments xmlns="http://schemas.openxmlformats.org/spreadsheetml/2006/main">
  <authors>
    <author>Victor Edwards</author>
    <author>Judy Dunlap</author>
    <author>BuildAdmin</author>
    <author>Stellie S Jackson</author>
  </authors>
  <commentList>
    <comment ref="G11" authorId="0">
      <text>
        <r>
          <rPr>
            <sz val="8"/>
            <color indexed="81"/>
            <rFont val="Tahoma"/>
            <family val="2"/>
          </rPr>
          <t>From the TGT Plan tab of the Gas Supply Plan, 
55% of Total Texas Gas Purchases</t>
        </r>
      </text>
    </comment>
    <comment ref="L12" authorId="0">
      <text>
        <r>
          <rPr>
            <b/>
            <sz val="8"/>
            <color indexed="81"/>
            <rFont val="Tahoma"/>
            <family val="2"/>
          </rPr>
          <t>Victor Edwards:</t>
        </r>
        <r>
          <rPr>
            <sz val="8"/>
            <color indexed="81"/>
            <rFont val="Tahoma"/>
            <family val="2"/>
          </rPr>
          <t xml:space="preserve">
Per Gas Supply, 55% of Total Texas Gas Purchases</t>
        </r>
      </text>
    </comment>
    <comment ref="H13" authorId="1">
      <text>
        <r>
          <rPr>
            <sz val="8"/>
            <color indexed="81"/>
            <rFont val="Tahoma"/>
            <family val="2"/>
          </rPr>
          <t>Texas Gas Transmission, 
Page 7 of 33 - Currently Effective Rates - NNS 
Section 4.4
Zone 3 - Commodity</t>
        </r>
      </text>
    </comment>
    <comment ref="E14" authorId="2">
      <text>
        <r>
          <rPr>
            <b/>
            <sz val="8"/>
            <color indexed="81"/>
            <rFont val="Tahoma"/>
            <family val="2"/>
          </rPr>
          <t>BuildAdmin:</t>
        </r>
        <r>
          <rPr>
            <sz val="8"/>
            <color indexed="81"/>
            <rFont val="Tahoma"/>
            <family val="2"/>
          </rPr>
          <t xml:space="preserve">
Texas Gas Transmission, 
Page 27 of 33 - Currently Effective Rates - Fuel Retention - General 
Section 4.18.1
NNS/NNL/SGT/SGL/SNS/WNS Rate Schedules
Delivery Fuel Zone - Middle</t>
        </r>
      </text>
    </comment>
    <comment ref="G17" authorId="0">
      <text>
        <r>
          <rPr>
            <sz val="8"/>
            <color indexed="81"/>
            <rFont val="Tahoma"/>
            <family val="2"/>
          </rPr>
          <t>From the TGT Plan tab of the Gas Supply Plan, 
45% of Total Texas Gas Purchases</t>
        </r>
      </text>
    </comment>
    <comment ref="H20" authorId="1">
      <text>
        <r>
          <rPr>
            <sz val="8"/>
            <color indexed="81"/>
            <rFont val="Tahoma"/>
            <family val="2"/>
          </rPr>
          <t>Page 4 of 33 - Currently Effective Rates - FT 
Section 4.1
ACA Unit Charge Section 6.9{7} of Federal Energy Regulatory Commission pdf.</t>
        </r>
      </text>
    </comment>
    <comment ref="E21" authorId="2">
      <text>
        <r>
          <rPr>
            <b/>
            <sz val="8"/>
            <color indexed="81"/>
            <rFont val="Tahoma"/>
            <family val="2"/>
          </rPr>
          <t>BuildAdmin:</t>
        </r>
        <r>
          <rPr>
            <sz val="8"/>
            <color indexed="81"/>
            <rFont val="Tahoma"/>
            <family val="2"/>
          </rPr>
          <t xml:space="preserve">
Texas Gas Transmission, 
Page 27 of 33 - Currently Effective Rates - Fuel Retention - General 
Section 4.18.1
NNS/NNL/SGT/SGL/SNS/WNS Rate Schedules
Delivery Fuel Zone - Middle</t>
        </r>
      </text>
    </comment>
    <comment ref="G25" authorId="0">
      <text>
        <r>
          <rPr>
            <sz val="8"/>
            <color indexed="81"/>
            <rFont val="Tahoma"/>
            <family val="2"/>
          </rPr>
          <t>From the TGT Plan tab of the Winter Gas Supply Plan (November and February Filing Periods), 
Total monthly values of the  "NNS Storage Withdrawals "
*Amount Should be Positive*</t>
        </r>
      </text>
    </comment>
    <comment ref="H25" authorId="0">
      <text>
        <r>
          <rPr>
            <b/>
            <sz val="8"/>
            <color indexed="81"/>
            <rFont val="Tahoma"/>
            <family val="2"/>
          </rPr>
          <t>Victor Edwards:</t>
        </r>
        <r>
          <rPr>
            <sz val="8"/>
            <color indexed="81"/>
            <rFont val="Tahoma"/>
            <family val="2"/>
          </rPr>
          <t xml:space="preserve">
From Gas Supply Website, Storage WACOG, Mar-12</t>
        </r>
      </text>
    </comment>
    <comment ref="G26" authorId="3">
      <text>
        <r>
          <rPr>
            <sz val="8"/>
            <color indexed="81"/>
            <rFont val="Tahoma"/>
            <family val="2"/>
          </rPr>
          <t>From the TGT Plan tab of the Summer Gas Supply Plan (May and August Filing Periods), 
Total monthly values of the  "NNS Storage Injections"
*Amount Should be Negative*</t>
        </r>
      </text>
    </comment>
    <comment ref="H27" authorId="1">
      <text>
        <r>
          <rPr>
            <sz val="8"/>
            <color indexed="81"/>
            <rFont val="Tahoma"/>
            <family val="2"/>
          </rPr>
          <t>Texas Gas Transmission, 
Page 7 of 33 - Currently Effective Rates - NNS 
Section 4.4
Zone 3 - Commodity</t>
        </r>
      </text>
    </comment>
    <comment ref="E28" authorId="2">
      <text>
        <r>
          <rPr>
            <b/>
            <sz val="8"/>
            <color indexed="81"/>
            <rFont val="Tahoma"/>
            <family val="2"/>
          </rPr>
          <t>BuildAdmin:</t>
        </r>
        <r>
          <rPr>
            <sz val="8"/>
            <color indexed="81"/>
            <rFont val="Tahoma"/>
            <family val="2"/>
          </rPr>
          <t xml:space="preserve">
Texas Gas Transmission, 
Page 27 of 33 - Currently Effective Rates - Fuel Retention - General 
Section 4.18.1
NNS/NNL/SGT/SGL/SNS/WNS Rate Schedules
Delivery Fuel Zone - Middle</t>
        </r>
      </text>
    </comment>
    <comment ref="G32" authorId="0">
      <text>
        <r>
          <rPr>
            <sz val="8"/>
            <color indexed="81"/>
            <rFont val="Tahoma"/>
            <family val="2"/>
          </rPr>
          <t>Total Texas Gas Purchases +/(-) NNS Storage Withdrawals/(Injections) from the TGT Plan tab of the Gas Supply Plan</t>
        </r>
      </text>
    </comment>
    <comment ref="H40" authorId="2">
      <text>
        <r>
          <rPr>
            <b/>
            <sz val="8"/>
            <color indexed="81"/>
            <rFont val="Tahoma"/>
            <family val="2"/>
          </rPr>
          <t>BuildAdmin:</t>
        </r>
        <r>
          <rPr>
            <sz val="8"/>
            <color indexed="81"/>
            <rFont val="Tahoma"/>
            <family val="2"/>
          </rPr>
          <t xml:space="preserve">
Texas Gas Transmission, 
Page 3 of 33 - Currently Effective Rates - FT 
Section 4.1
SL-2</t>
        </r>
      </text>
    </comment>
    <comment ref="H41" authorId="2">
      <text>
        <r>
          <rPr>
            <b/>
            <sz val="8"/>
            <color indexed="81"/>
            <rFont val="Tahoma"/>
            <family val="2"/>
          </rPr>
          <t>BuildAdmin:</t>
        </r>
        <r>
          <rPr>
            <sz val="8"/>
            <color indexed="81"/>
            <rFont val="Tahoma"/>
            <family val="2"/>
          </rPr>
          <t xml:space="preserve">
Texas Gas Transmission, 
Page 3 of 33 - Currently Effective Rates - FT 
Section 4.1
SL-3</t>
        </r>
      </text>
    </comment>
    <comment ref="H42" authorId="2">
      <text>
        <r>
          <rPr>
            <b/>
            <sz val="8"/>
            <color indexed="81"/>
            <rFont val="Tahoma"/>
            <family val="2"/>
          </rPr>
          <t>BuildAdmin:</t>
        </r>
        <r>
          <rPr>
            <sz val="8"/>
            <color indexed="81"/>
            <rFont val="Tahoma"/>
            <family val="2"/>
          </rPr>
          <t xml:space="preserve">
Texas Gas Transmission, 
Page 3 of 33 - Currently Effective Rates - FT 
Section 4.1
1-3</t>
        </r>
      </text>
    </comment>
    <comment ref="H43" authorId="2">
      <text>
        <r>
          <rPr>
            <b/>
            <sz val="8"/>
            <color indexed="81"/>
            <rFont val="Tahoma"/>
            <family val="2"/>
          </rPr>
          <t>BuildAdmin:</t>
        </r>
        <r>
          <rPr>
            <sz val="8"/>
            <color indexed="81"/>
            <rFont val="Tahoma"/>
            <family val="2"/>
          </rPr>
          <t xml:space="preserve">
Texas Gas Transmission, 
Page 3 of 33 - Currently Effective Rates - FT 
Section 4.1
SL-4</t>
        </r>
      </text>
    </comment>
    <comment ref="H44" authorId="2">
      <text>
        <r>
          <rPr>
            <b/>
            <sz val="8"/>
            <color indexed="81"/>
            <rFont val="Tahoma"/>
            <family val="2"/>
          </rPr>
          <t>BuildAdmin:</t>
        </r>
        <r>
          <rPr>
            <sz val="8"/>
            <color indexed="81"/>
            <rFont val="Tahoma"/>
            <family val="2"/>
          </rPr>
          <t xml:space="preserve">
Texas Gas Transmission, 
Page 3 of 33 - Currently Effective Rates - FT 
Section 4.1
2-4</t>
        </r>
      </text>
    </comment>
    <comment ref="H48" authorId="2">
      <text>
        <r>
          <rPr>
            <b/>
            <sz val="8"/>
            <color indexed="81"/>
            <rFont val="Tahoma"/>
            <family val="2"/>
          </rPr>
          <t>BuildAdmin:</t>
        </r>
        <r>
          <rPr>
            <sz val="8"/>
            <color indexed="81"/>
            <rFont val="Tahoma"/>
            <family val="2"/>
          </rPr>
          <t xml:space="preserve">
Tennessee Gas Pipeline, 
Page 26 of 524 - 
Commodity Rates - Rate Schedule FT-G
Sheet No. 24
Base Commodity Rate
Delivery Zone 0, Receipt Zone 2</t>
        </r>
      </text>
    </comment>
    <comment ref="H49" authorId="2">
      <text>
        <r>
          <rPr>
            <b/>
            <sz val="8"/>
            <color indexed="81"/>
            <rFont val="Tahoma"/>
            <family val="2"/>
          </rPr>
          <t>BuildAdmin:</t>
        </r>
        <r>
          <rPr>
            <sz val="8"/>
            <color indexed="81"/>
            <rFont val="Tahoma"/>
            <family val="2"/>
          </rPr>
          <t xml:space="preserve">
Tennessee Gas Pipeline, 
Page 26 of 524 - 
Commodity Rates - Rate Schedule FT-G
Sheet No. 24
Base Commodity Rate
Delivery Zone 1, Receipt Zone 2</t>
        </r>
      </text>
    </comment>
  </commentList>
</comments>
</file>

<file path=xl/comments4.xml><?xml version="1.0" encoding="utf-8"?>
<comments xmlns="http://schemas.openxmlformats.org/spreadsheetml/2006/main">
  <authors>
    <author>Judy Dunlap</author>
    <author>Victor Edwards</author>
  </authors>
  <commentList>
    <comment ref="H11" authorId="0">
      <text>
        <r>
          <rPr>
            <sz val="8"/>
            <color indexed="81"/>
            <rFont val="Tahoma"/>
            <family val="2"/>
          </rPr>
          <t>From the TGP tab of Gas Supply Plan - Total Tennessee Purchases</t>
        </r>
      </text>
    </comment>
    <comment ref="I14" authorId="0">
      <text>
        <r>
          <rPr>
            <sz val="8"/>
            <color indexed="81"/>
            <rFont val="Tahoma"/>
            <family val="2"/>
          </rPr>
          <t>From sheet 24 ACA charge at the bottom</t>
        </r>
      </text>
    </comment>
    <comment ref="F15" authorId="0">
      <text>
        <r>
          <rPr>
            <b/>
            <sz val="8"/>
            <color indexed="81"/>
            <rFont val="Tahoma"/>
            <family val="2"/>
          </rPr>
          <t>Judy Dunlap:</t>
        </r>
        <r>
          <rPr>
            <sz val="8"/>
            <color indexed="81"/>
            <rFont val="Tahoma"/>
            <family val="2"/>
          </rPr>
          <t xml:space="preserve">
From Sheet 32 delivery zone 2 receipt zone 1 - </t>
        </r>
        <r>
          <rPr>
            <b/>
            <sz val="8"/>
            <color indexed="10"/>
            <rFont val="Tahoma"/>
            <family val="2"/>
          </rPr>
          <t>Remember to change from Winter to Summer</t>
        </r>
      </text>
    </comment>
    <comment ref="I20" authorId="0">
      <text>
        <r>
          <rPr>
            <b/>
            <sz val="8"/>
            <color indexed="81"/>
            <rFont val="Tahoma"/>
            <family val="2"/>
          </rPr>
          <t>Judy Dunlap:</t>
        </r>
        <r>
          <rPr>
            <sz val="8"/>
            <color indexed="81"/>
            <rFont val="Tahoma"/>
            <family val="2"/>
          </rPr>
          <t xml:space="preserve">
From Sheet 26 Base Rate to Del Zone 2
</t>
        </r>
      </text>
    </comment>
    <comment ref="H26" authorId="1">
      <text>
        <r>
          <rPr>
            <sz val="8"/>
            <color indexed="81"/>
            <rFont val="Tahoma"/>
            <family val="2"/>
          </rPr>
          <t>From the TGP tab of the Winter Gas Supply Plan - Total Tennessee Gas Storage Withdrawals.
Applicable during the November and February Filing Periods.
*Total Amount should be Positive*</t>
        </r>
      </text>
    </comment>
    <comment ref="I26" authorId="1">
      <text>
        <r>
          <rPr>
            <b/>
            <sz val="8"/>
            <color indexed="81"/>
            <rFont val="Tahoma"/>
            <family val="2"/>
          </rPr>
          <t>Victor Edwards:</t>
        </r>
        <r>
          <rPr>
            <sz val="8"/>
            <color indexed="81"/>
            <rFont val="Tahoma"/>
            <family val="2"/>
          </rPr>
          <t xml:space="preserve">
From Gas Supply Site, 
Storage Mar-12 WACOG</t>
        </r>
      </text>
    </comment>
    <comment ref="H27" authorId="1">
      <text>
        <r>
          <rPr>
            <sz val="8"/>
            <color indexed="81"/>
            <rFont val="Tahoma"/>
            <family val="2"/>
          </rPr>
          <t>From the TGP tab of the Summer Gas Supply Plan - Total Tennessee Gas Storage Injections.
Applicable during the May and August Filing Periods.
*Total Amount should be Negative*</t>
        </r>
      </text>
    </comment>
    <comment ref="I28" authorId="0">
      <text>
        <r>
          <rPr>
            <sz val="8"/>
            <color indexed="81"/>
            <rFont val="Tahoma"/>
            <family val="2"/>
          </rPr>
          <t xml:space="preserve">From Sheet 61 firm storage service (FS) mkt area injection rate </t>
        </r>
      </text>
    </comment>
    <comment ref="I29" authorId="0">
      <text>
        <r>
          <rPr>
            <sz val="8"/>
            <color indexed="81"/>
            <rFont val="Tahoma"/>
            <family val="2"/>
          </rPr>
          <t xml:space="preserve">From Sheet 61 firm storage service (FS) mkt area injection rate </t>
        </r>
      </text>
    </comment>
    <comment ref="F30" authorId="0">
      <text>
        <r>
          <rPr>
            <sz val="8"/>
            <color indexed="81"/>
            <rFont val="Tahoma"/>
            <family val="2"/>
          </rPr>
          <t>From Sheet 61 firm storage service (FS) mkt area injection rate retention percent</t>
        </r>
      </text>
    </comment>
    <comment ref="H35" authorId="1">
      <text>
        <r>
          <rPr>
            <b/>
            <sz val="8"/>
            <color indexed="81"/>
            <rFont val="Tahoma"/>
            <family val="2"/>
          </rPr>
          <t xml:space="preserve">From TGP Plan, </t>
        </r>
      </text>
    </comment>
  </commentList>
</comments>
</file>

<file path=xl/comments5.xml><?xml version="1.0" encoding="utf-8"?>
<comments xmlns="http://schemas.openxmlformats.org/spreadsheetml/2006/main">
  <authors>
    <author>Judy Dunlap</author>
    <author>Victor Edwards</author>
  </authors>
  <commentList>
    <comment ref="I14" authorId="0">
      <text>
        <r>
          <rPr>
            <b/>
            <sz val="8"/>
            <color indexed="81"/>
            <rFont val="Tahoma"/>
            <family val="2"/>
          </rPr>
          <t>Judy Dunlap:</t>
        </r>
        <r>
          <rPr>
            <sz val="8"/>
            <color indexed="81"/>
            <rFont val="Tahoma"/>
            <family val="2"/>
          </rPr>
          <t xml:space="preserve">
From Sheet 10 base rate per Dth usage rate zone 1B only</t>
        </r>
      </text>
    </comment>
    <comment ref="I15" authorId="0">
      <text>
        <r>
          <rPr>
            <b/>
            <sz val="8"/>
            <color indexed="81"/>
            <rFont val="Tahoma"/>
            <family val="2"/>
          </rPr>
          <t>Judy Dunlap:</t>
        </r>
        <r>
          <rPr>
            <sz val="8"/>
            <color indexed="81"/>
            <rFont val="Tahoma"/>
            <family val="2"/>
          </rPr>
          <t xml:space="preserve">
From Sheet 10 footnote (1) - ACA</t>
        </r>
      </text>
    </comment>
    <comment ref="F16" authorId="0">
      <text>
        <r>
          <rPr>
            <b/>
            <sz val="8"/>
            <color indexed="81"/>
            <rFont val="Tahoma"/>
            <family val="2"/>
          </rPr>
          <t>Judy Dunlap:</t>
        </r>
        <r>
          <rPr>
            <sz val="8"/>
            <color indexed="81"/>
            <rFont val="Tahoma"/>
            <family val="2"/>
          </rPr>
          <t xml:space="preserve">
From Sheet 10 under Fuel Reimbursement Zone 1B only</t>
        </r>
      </text>
    </comment>
    <comment ref="L25" authorId="1">
      <text>
        <r>
          <rPr>
            <b/>
            <sz val="8"/>
            <color indexed="81"/>
            <rFont val="Tahoma"/>
            <family val="2"/>
          </rPr>
          <t>Victor Edwards:</t>
        </r>
        <r>
          <rPr>
            <sz val="8"/>
            <color indexed="81"/>
            <rFont val="Tahoma"/>
            <family val="2"/>
          </rPr>
          <t xml:space="preserve">
From WKG-10271-12 WINTER VOLUMES (5,000 per month times 5 months)</t>
        </r>
      </text>
    </comment>
    <comment ref="M25" authorId="1">
      <text>
        <r>
          <rPr>
            <b/>
            <sz val="8"/>
            <color indexed="81"/>
            <rFont val="Tahoma"/>
            <family val="2"/>
          </rPr>
          <t>Victor Edwards:</t>
        </r>
        <r>
          <rPr>
            <sz val="8"/>
            <color indexed="81"/>
            <rFont val="Tahoma"/>
            <family val="2"/>
          </rPr>
          <t xml:space="preserve">
From WKG-10271-13 WINTER RATE</t>
        </r>
      </text>
    </comment>
    <comment ref="L26" authorId="1">
      <text>
        <r>
          <rPr>
            <b/>
            <sz val="8"/>
            <color indexed="81"/>
            <rFont val="Tahoma"/>
            <family val="2"/>
          </rPr>
          <t>Victor Edwards:</t>
        </r>
        <r>
          <rPr>
            <sz val="8"/>
            <color indexed="81"/>
            <rFont val="Tahoma"/>
            <family val="2"/>
          </rPr>
          <t xml:space="preserve">
From WKG-10271-12 SUMMER VOLUMES (1,250 per month times 7 months)</t>
        </r>
      </text>
    </comment>
    <comment ref="M26" authorId="1">
      <text>
        <r>
          <rPr>
            <b/>
            <sz val="8"/>
            <color indexed="81"/>
            <rFont val="Tahoma"/>
            <family val="2"/>
          </rPr>
          <t>Victor Edwards:</t>
        </r>
        <r>
          <rPr>
            <sz val="8"/>
            <color indexed="81"/>
            <rFont val="Tahoma"/>
            <family val="2"/>
          </rPr>
          <t xml:space="preserve">
From WKG-10271-13 SUMMER RATE</t>
        </r>
      </text>
    </comment>
    <comment ref="F29" authorId="0">
      <text>
        <r>
          <rPr>
            <sz val="8"/>
            <color indexed="81"/>
            <rFont val="Tahoma"/>
            <family val="2"/>
          </rPr>
          <t>Volumes from Exhibit B (Trunkline) file AES Reports</t>
        </r>
      </text>
    </comment>
    <comment ref="G30" authorId="0">
      <text>
        <r>
          <rPr>
            <sz val="8"/>
            <color indexed="81"/>
            <rFont val="Tahoma"/>
            <family val="2"/>
          </rPr>
          <t xml:space="preserve">Amount is from Trunkline Gas Contract WKG-10271-13 - Check with Kim in Gas Supply before filing in November to make sure no change has been made to this contract. Current contract through 10/31/2013.  </t>
        </r>
        <r>
          <rPr>
            <b/>
            <sz val="8"/>
            <color indexed="10"/>
            <rFont val="Tahoma"/>
            <family val="2"/>
          </rPr>
          <t>RATE IS A SEASONAL PRORATED RATE</t>
        </r>
      </text>
    </comment>
  </commentList>
</comments>
</file>

<file path=xl/comments6.xml><?xml version="1.0" encoding="utf-8"?>
<comments xmlns="http://schemas.openxmlformats.org/spreadsheetml/2006/main">
  <authors>
    <author>Judy Dunlap</author>
  </authors>
  <commentList>
    <comment ref="E26" authorId="0">
      <text>
        <r>
          <rPr>
            <sz val="8"/>
            <color indexed="81"/>
            <rFont val="Tahoma"/>
            <family val="2"/>
          </rPr>
          <t>Budgeted Sales Volume
Source:  William Matthews
*Update for filing effective February 1, YYYY</t>
        </r>
      </text>
    </comment>
    <comment ref="E30" authorId="0">
      <text>
        <r>
          <rPr>
            <sz val="8"/>
            <color indexed="81"/>
            <rFont val="Tahoma"/>
            <family val="2"/>
          </rPr>
          <t>Budgeted Sales Volume
Source:  William Matthews
Update for filing effective February 1, YYYY</t>
        </r>
      </text>
    </comment>
    <comment ref="E33" authorId="0">
      <text>
        <r>
          <rPr>
            <sz val="8"/>
            <color indexed="81"/>
            <rFont val="Tahoma"/>
            <family val="2"/>
          </rPr>
          <t>Budgeted Sales Volume
Source:  William Matthews
Update for filing effective February 1, YYYY</t>
        </r>
      </text>
    </comment>
  </commentList>
</comments>
</file>

<file path=xl/comments7.xml><?xml version="1.0" encoding="utf-8"?>
<comments xmlns="http://schemas.openxmlformats.org/spreadsheetml/2006/main">
  <authors>
    <author>Nelson, Patricia A</author>
    <author>Judy Dunlap</author>
    <author>Victor Edwards</author>
  </authors>
  <commentList>
    <comment ref="E12" authorId="0">
      <text>
        <r>
          <rPr>
            <b/>
            <sz val="8"/>
            <color indexed="81"/>
            <rFont val="Tahoma"/>
            <family val="2"/>
          </rPr>
          <t xml:space="preserve">Nelson, Patricia A:
</t>
        </r>
        <r>
          <rPr>
            <sz val="8"/>
            <color indexed="81"/>
            <rFont val="Tahoma"/>
            <family val="2"/>
          </rPr>
          <t>BTU Factor Source:
Monthly Texas Gas Price and BTU Factor Rpt from Kim Griffith.  Use BTU factor for TGT.</t>
        </r>
      </text>
    </comment>
    <comment ref="E13" authorId="0">
      <text>
        <r>
          <rPr>
            <b/>
            <sz val="8"/>
            <color indexed="81"/>
            <rFont val="Tahoma"/>
            <family val="2"/>
          </rPr>
          <t xml:space="preserve">Nelson, Patricia A:
</t>
        </r>
        <r>
          <rPr>
            <sz val="8"/>
            <color indexed="81"/>
            <rFont val="Tahoma"/>
            <family val="2"/>
          </rPr>
          <t>BTU Factor Source:
Monthly Texas Gas Price and BTU Factor Rpt from Kim Griffith.  Use BTU factor for TGT.</t>
        </r>
      </text>
    </comment>
    <comment ref="E14" authorId="0">
      <text>
        <r>
          <rPr>
            <b/>
            <sz val="8"/>
            <color indexed="81"/>
            <rFont val="Tahoma"/>
            <family val="2"/>
          </rPr>
          <t xml:space="preserve">Nelson, Patricia A:
</t>
        </r>
        <r>
          <rPr>
            <sz val="8"/>
            <color indexed="81"/>
            <rFont val="Tahoma"/>
            <family val="2"/>
          </rPr>
          <t>BTU Factor Source:
Monthly Texas Gas Price and BTU Factor Rpt from Kim Griffith.  Use BTU factor for TGT.</t>
        </r>
      </text>
    </comment>
    <comment ref="E18" authorId="0">
      <text>
        <r>
          <rPr>
            <b/>
            <sz val="8"/>
            <color indexed="81"/>
            <rFont val="Tahoma"/>
            <family val="2"/>
          </rPr>
          <t xml:space="preserve">Nelson, Patricia A:
</t>
        </r>
        <r>
          <rPr>
            <sz val="8"/>
            <color indexed="81"/>
            <rFont val="Tahoma"/>
            <family val="2"/>
          </rPr>
          <t>BTU Factor Source:
Monthly Texas Gas Price and BTU Factor Rpt from Kim Griffith.  Use BTU factor for TGP.
.</t>
        </r>
      </text>
    </comment>
    <comment ref="E19" authorId="0">
      <text>
        <r>
          <rPr>
            <b/>
            <sz val="8"/>
            <color indexed="81"/>
            <rFont val="Tahoma"/>
            <family val="2"/>
          </rPr>
          <t xml:space="preserve">Nelson, Patricia A:
</t>
        </r>
        <r>
          <rPr>
            <sz val="8"/>
            <color indexed="81"/>
            <rFont val="Tahoma"/>
            <family val="2"/>
          </rPr>
          <t>BTU Factor Source:
Monthly Texas Gas Price and BTU Factor Rpt from Kim Griffith.  Use BTU factor for TGP.
.</t>
        </r>
      </text>
    </comment>
    <comment ref="E21" authorId="0">
      <text>
        <r>
          <rPr>
            <b/>
            <sz val="8"/>
            <color indexed="81"/>
            <rFont val="Tahoma"/>
            <family val="2"/>
          </rPr>
          <t xml:space="preserve">Nelson, Patricia A:
</t>
        </r>
        <r>
          <rPr>
            <sz val="8"/>
            <color indexed="81"/>
            <rFont val="Tahoma"/>
            <family val="2"/>
          </rPr>
          <t>BTU Factor Source:
Monthly Texas Gas Price and BTU Factor Rpt from Kim Griffith.  Use BTU factor for TGP.
.</t>
        </r>
      </text>
    </comment>
    <comment ref="E22" authorId="0">
      <text>
        <r>
          <rPr>
            <b/>
            <sz val="8"/>
            <color indexed="81"/>
            <rFont val="Tahoma"/>
            <family val="2"/>
          </rPr>
          <t xml:space="preserve">Nelson, Patricia A:
</t>
        </r>
        <r>
          <rPr>
            <sz val="8"/>
            <color indexed="81"/>
            <rFont val="Tahoma"/>
            <family val="2"/>
          </rPr>
          <t>BTU Factor Source:
Monthly Texas Gas Price and BTU Factor Rpt from Kim Griffith.  Use BTU factor for TGP.
.</t>
        </r>
      </text>
    </comment>
    <comment ref="E25" authorId="0">
      <text>
        <r>
          <rPr>
            <b/>
            <sz val="8"/>
            <color indexed="81"/>
            <rFont val="Tahoma"/>
            <family val="2"/>
          </rPr>
          <t xml:space="preserve">Nelson, Patricia A:
</t>
        </r>
        <r>
          <rPr>
            <sz val="8"/>
            <color indexed="81"/>
            <rFont val="Tahoma"/>
            <family val="2"/>
          </rPr>
          <t>BTU Factor Source:
Monthly Texas Gas Price and BTU Factor Rpt from Kim Griffith.  Use BTU factor for Trunkline.
.</t>
        </r>
      </text>
    </comment>
    <comment ref="E28" authorId="0">
      <text>
        <r>
          <rPr>
            <b/>
            <sz val="8"/>
            <color indexed="81"/>
            <rFont val="Tahoma"/>
            <family val="2"/>
          </rPr>
          <t xml:space="preserve">Nelson, Patricia A:
</t>
        </r>
        <r>
          <rPr>
            <sz val="8"/>
            <color indexed="81"/>
            <rFont val="Tahoma"/>
            <family val="2"/>
          </rPr>
          <t>BTU Factor Source:
Monthly Texas Gas Price and BTU Factor Rpt from Kim Griffith.  Use BTU factor for TGT.</t>
        </r>
      </text>
    </comment>
    <comment ref="H28" authorId="1">
      <text>
        <r>
          <rPr>
            <b/>
            <sz val="8"/>
            <color indexed="81"/>
            <rFont val="Tahoma"/>
            <family val="2"/>
          </rPr>
          <t>Col F x B.5 H33</t>
        </r>
        <r>
          <rPr>
            <sz val="8"/>
            <color indexed="81"/>
            <rFont val="Tahoma"/>
            <family val="2"/>
          </rPr>
          <t xml:space="preserve">
</t>
        </r>
      </text>
    </comment>
    <comment ref="E29" authorId="0">
      <text>
        <r>
          <rPr>
            <b/>
            <sz val="8"/>
            <color indexed="81"/>
            <rFont val="Tahoma"/>
            <family val="2"/>
          </rPr>
          <t xml:space="preserve">Nelson, Patricia A:
</t>
        </r>
        <r>
          <rPr>
            <sz val="8"/>
            <color indexed="81"/>
            <rFont val="Tahoma"/>
            <family val="2"/>
          </rPr>
          <t>BTU Factor Source:
Monthly Texas Gas Price and BTU Factor Rpt from Kim Griffith.  Use BTU factor for TGT.</t>
        </r>
      </text>
    </comment>
    <comment ref="F29" authorId="2">
      <text>
        <r>
          <rPr>
            <b/>
            <sz val="8"/>
            <color indexed="81"/>
            <rFont val="Tahoma"/>
            <family val="2"/>
          </rPr>
          <t>Victor Edwards:</t>
        </r>
        <r>
          <rPr>
            <sz val="8"/>
            <color indexed="81"/>
            <rFont val="Tahoma"/>
            <family val="2"/>
          </rPr>
          <t xml:space="preserve">
From Exhibit C</t>
        </r>
      </text>
    </comment>
    <comment ref="G29" authorId="1">
      <text>
        <r>
          <rPr>
            <sz val="8"/>
            <color indexed="81"/>
            <rFont val="Tahoma"/>
            <family val="2"/>
          </rPr>
          <t>From Gas Supply Website 
WACOG</t>
        </r>
      </text>
    </comment>
    <comment ref="E33" authorId="0">
      <text>
        <r>
          <rPr>
            <b/>
            <sz val="8"/>
            <color indexed="81"/>
            <rFont val="Tahoma"/>
            <family val="2"/>
          </rPr>
          <t xml:space="preserve">Nelson, Patricia A:
</t>
        </r>
        <r>
          <rPr>
            <sz val="8"/>
            <color indexed="81"/>
            <rFont val="Tahoma"/>
            <family val="2"/>
          </rPr>
          <t>BTU Factor Source:
Monthly Texas Gas Price and BTU Factor Rpt from Kim Griffith.  Use Local Production conversion factor from separate report.</t>
        </r>
      </text>
    </comment>
    <comment ref="F33" authorId="2">
      <text>
        <r>
          <rPr>
            <b/>
            <sz val="8"/>
            <color indexed="81"/>
            <rFont val="Tahoma"/>
            <family val="2"/>
          </rPr>
          <t>Local Production Tab in work papers: same quarter last year
or
Exhibit D2 Feb-20XX (same qtr last year)</t>
        </r>
      </text>
    </comment>
    <comment ref="H33" authorId="1">
      <text>
        <r>
          <rPr>
            <b/>
            <sz val="8"/>
            <color indexed="81"/>
            <rFont val="Tahoma"/>
            <family val="2"/>
          </rPr>
          <t>Col F x "Basis for Indexed Gas Cost" Cell B 38 from Exhibit C</t>
        </r>
      </text>
    </comment>
    <comment ref="D39" authorId="1">
      <text>
        <r>
          <rPr>
            <sz val="8"/>
            <color indexed="81"/>
            <rFont val="Tahoma"/>
            <family val="2"/>
          </rPr>
          <t>Changes each year with the November 1 filing</t>
        </r>
      </text>
    </comment>
  </commentList>
</comments>
</file>

<file path=xl/comments8.xml><?xml version="1.0" encoding="utf-8"?>
<comments xmlns="http://schemas.openxmlformats.org/spreadsheetml/2006/main">
  <authors>
    <author>Judy Dunlap</author>
  </authors>
  <commentList>
    <comment ref="F19" authorId="0">
      <text>
        <r>
          <rPr>
            <b/>
            <sz val="8"/>
            <color indexed="81"/>
            <rFont val="Tahoma"/>
            <family val="2"/>
          </rPr>
          <t xml:space="preserve">This information is provided by Gas Planning - Provided by Harold Fox
</t>
        </r>
      </text>
    </comment>
  </commentList>
</comments>
</file>

<file path=xl/comments9.xml><?xml version="1.0" encoding="utf-8"?>
<comments xmlns="http://schemas.openxmlformats.org/spreadsheetml/2006/main">
  <authors>
    <author>Nelson, Patricia A</author>
  </authors>
  <commentList>
    <comment ref="C26" authorId="0">
      <text>
        <r>
          <rPr>
            <b/>
            <sz val="8"/>
            <color indexed="81"/>
            <rFont val="Tahoma"/>
            <family val="2"/>
          </rPr>
          <t>Nelson, Patricia A:</t>
        </r>
        <r>
          <rPr>
            <sz val="8"/>
            <color indexed="81"/>
            <rFont val="Tahoma"/>
            <family val="2"/>
          </rPr>
          <t xml:space="preserve">
Edit Increase/Decrease located in section B.</t>
        </r>
      </text>
    </comment>
  </commentList>
</comments>
</file>

<file path=xl/sharedStrings.xml><?xml version="1.0" encoding="utf-8"?>
<sst xmlns="http://schemas.openxmlformats.org/spreadsheetml/2006/main" count="2471" uniqueCount="1171">
  <si>
    <t>Tariff</t>
  </si>
  <si>
    <t>Submission</t>
  </si>
  <si>
    <t>Issued Date</t>
  </si>
  <si>
    <t>GCA Effective Date</t>
  </si>
  <si>
    <t>Previous</t>
  </si>
  <si>
    <t>Current</t>
  </si>
  <si>
    <t>Refund Factor</t>
  </si>
  <si>
    <t>A.2</t>
  </si>
  <si>
    <t>A.1</t>
  </si>
  <si>
    <t>Total Refund Factor (RF)</t>
  </si>
  <si>
    <t xml:space="preserve">4 - </t>
  </si>
  <si>
    <t>2012-00287</t>
  </si>
  <si>
    <t xml:space="preserve">3 - </t>
  </si>
  <si>
    <t>2012-00121</t>
  </si>
  <si>
    <t xml:space="preserve">2 - </t>
  </si>
  <si>
    <t>2011-00520</t>
  </si>
  <si>
    <t xml:space="preserve">1 - </t>
  </si>
  <si>
    <t>RF</t>
  </si>
  <si>
    <t>Date</t>
  </si>
  <si>
    <t>Case No.</t>
  </si>
  <si>
    <t>Effective</t>
  </si>
  <si>
    <t>Refund Factor (RF)</t>
  </si>
  <si>
    <t>Mcf</t>
  </si>
  <si>
    <t>Over</t>
  </si>
  <si>
    <t>First</t>
  </si>
  <si>
    <t>Rate per Mcf (GCA included)</t>
  </si>
  <si>
    <t>GCA (Gas Cost Adjustment)</t>
  </si>
  <si>
    <t>PBRRF (Performance Based Rate Recovery Factor)</t>
  </si>
  <si>
    <t>RF (Refund Adjustment)</t>
  </si>
  <si>
    <t>CF (Correction Factor)</t>
  </si>
  <si>
    <t>Total EGC</t>
  </si>
  <si>
    <t>Demand</t>
  </si>
  <si>
    <t>Commodity</t>
  </si>
  <si>
    <t>EGC (Expected Gas Cost):</t>
  </si>
  <si>
    <t>Gas Cost Adjustment Components</t>
  </si>
  <si>
    <t>G - 2</t>
  </si>
  <si>
    <t>Next</t>
  </si>
  <si>
    <t>G - 1</t>
  </si>
  <si>
    <t>$/Mcf</t>
  </si>
  <si>
    <t>Difference</t>
  </si>
  <si>
    <t>2012-00438</t>
  </si>
  <si>
    <t>Description</t>
  </si>
  <si>
    <t>No.</t>
  </si>
  <si>
    <t>Line</t>
  </si>
  <si>
    <t>(c)</t>
  </si>
  <si>
    <t>(b)</t>
  </si>
  <si>
    <t>(a)</t>
  </si>
  <si>
    <t>Sales Service</t>
  </si>
  <si>
    <t>Page 1 of 2</t>
  </si>
  <si>
    <t>Comparison of Current and Previous Cases</t>
  </si>
  <si>
    <t>Exhibit A</t>
  </si>
  <si>
    <t>Atmos Energy Corporation</t>
  </si>
  <si>
    <t>T - 3 / Interruptible Service (Low Priority)</t>
  </si>
  <si>
    <t>T -4 Transportation Service / Firm Service (High Priority)</t>
  </si>
  <si>
    <t>Transportation Service</t>
  </si>
  <si>
    <t>Page 2 of 2</t>
  </si>
  <si>
    <t>2</t>
  </si>
  <si>
    <t>been achieved.</t>
  </si>
  <si>
    <t>considered for the purpose of determining whether the volume requirement of 15,000 Mcf has</t>
  </si>
  <si>
    <t>All gas consumed by the customer (sales, transportation; firm and interruptible) will be</t>
  </si>
  <si>
    <t>per Mcf</t>
  </si>
  <si>
    <t>@</t>
  </si>
  <si>
    <t>Transportation (T-3)</t>
  </si>
  <si>
    <t>Sales (G-2)</t>
  </si>
  <si>
    <r>
      <t xml:space="preserve">Rate per Mcf </t>
    </r>
    <r>
      <rPr>
        <u/>
        <vertAlign val="superscript"/>
        <sz val="10"/>
        <rFont val="Arial"/>
        <family val="2"/>
      </rPr>
      <t>2</t>
    </r>
  </si>
  <si>
    <t>per customer per meter</t>
  </si>
  <si>
    <t>-</t>
  </si>
  <si>
    <t>Transportation Administration Fee</t>
  </si>
  <si>
    <t>per delivery point per month</t>
  </si>
  <si>
    <t>Base Charge</t>
  </si>
  <si>
    <t>Interruptible Service</t>
  </si>
  <si>
    <t>Transportation (T-4)</t>
  </si>
  <si>
    <t>Sales (G-1)</t>
  </si>
  <si>
    <t>per meter per month</t>
  </si>
  <si>
    <t>Non-Residential (G-1)</t>
  </si>
  <si>
    <t>Residential (G-1)</t>
  </si>
  <si>
    <t>Base Charge:</t>
  </si>
  <si>
    <t>Firm Service</t>
  </si>
  <si>
    <t>ATMOS ENERGY CORPORATION</t>
  </si>
  <si>
    <t>Recovery Factor)</t>
  </si>
  <si>
    <t>PBRRF  (Performance Based Rate</t>
  </si>
  <si>
    <t>RF  (Refund Adjustment)</t>
  </si>
  <si>
    <t>EGC  (Expected Gas Cost Component)</t>
  </si>
  <si>
    <t>G-2</t>
  </si>
  <si>
    <t xml:space="preserve">    G - 1</t>
  </si>
  <si>
    <t>GCA  =  EGC +  CF  +  RF  +  PBRRF</t>
  </si>
  <si>
    <t>Gas Charge = GCA</t>
  </si>
  <si>
    <t>For all Mcf billed under General Sales Service (G-1) and Interruptible Sales Service (G-2).</t>
  </si>
  <si>
    <t>Applicable</t>
  </si>
  <si>
    <t>Excludes standby sales service.</t>
  </si>
  <si>
    <t>=</t>
  </si>
  <si>
    <t>+</t>
  </si>
  <si>
    <t>All over</t>
  </si>
  <si>
    <t>Interruptible Service (T-3)</t>
  </si>
  <si>
    <t>Firm Service (T-4)</t>
  </si>
  <si>
    <r>
      <t xml:space="preserve">Transportation Service </t>
    </r>
    <r>
      <rPr>
        <b/>
        <u/>
        <vertAlign val="superscript"/>
        <sz val="10"/>
        <rFont val="Arial"/>
        <family val="2"/>
      </rPr>
      <t>1</t>
    </r>
  </si>
  <si>
    <t xml:space="preserve">  Margin</t>
  </si>
  <si>
    <t xml:space="preserve">  Gross</t>
  </si>
  <si>
    <t xml:space="preserve">  Non-</t>
  </si>
  <si>
    <t xml:space="preserve">  Simple</t>
  </si>
  <si>
    <t>System Lost and Unaccounted gas percentage:</t>
  </si>
  <si>
    <t>The Transportation Rates (T-3 and T-4) for each respective service net monthly rate is as follows:</t>
  </si>
  <si>
    <t>Current Transportation</t>
  </si>
  <si>
    <t>end of table</t>
  </si>
  <si>
    <t>Forty-Ninth</t>
  </si>
  <si>
    <t>Forth-Eighth</t>
  </si>
  <si>
    <t>Forty-Seventh</t>
  </si>
  <si>
    <t>Forty-Sixth</t>
  </si>
  <si>
    <t>2011-00400</t>
  </si>
  <si>
    <t>Forty-Fifth</t>
  </si>
  <si>
    <t>2011-00230</t>
  </si>
  <si>
    <t>2011-00114</t>
  </si>
  <si>
    <t>2011-00068</t>
  </si>
  <si>
    <t>2010-00526</t>
  </si>
  <si>
    <t>2010-00386</t>
  </si>
  <si>
    <t>2010-00257</t>
  </si>
  <si>
    <t>Rate Case Tariff Filing</t>
  </si>
  <si>
    <t>2009-00354</t>
  </si>
  <si>
    <t>2010-00135</t>
  </si>
  <si>
    <t>2009-00544</t>
  </si>
  <si>
    <t>2009-00461</t>
  </si>
  <si>
    <t>2009-00393</t>
  </si>
  <si>
    <t>Thirty-Fourth</t>
  </si>
  <si>
    <t>2009-00243</t>
  </si>
  <si>
    <t>Thirty-Third</t>
  </si>
  <si>
    <t>2009-00138</t>
  </si>
  <si>
    <t>Thirty-Second</t>
  </si>
  <si>
    <t>2009-00092</t>
  </si>
  <si>
    <t>Thirty-First</t>
  </si>
  <si>
    <t>2008-00562</t>
  </si>
  <si>
    <t>Thirtieth</t>
  </si>
  <si>
    <t>2008-00407</t>
  </si>
  <si>
    <t>Twenty-Ninth</t>
  </si>
  <si>
    <t>2008-00362</t>
  </si>
  <si>
    <t>2008-00240</t>
  </si>
  <si>
    <t>2008-00196</t>
  </si>
  <si>
    <t>2008-00160</t>
  </si>
  <si>
    <t>2008-00110</t>
  </si>
  <si>
    <t>2007-00547</t>
  </si>
  <si>
    <t>2007-00426</t>
  </si>
  <si>
    <t>2007-00263</t>
  </si>
  <si>
    <t>2007-00136</t>
  </si>
  <si>
    <t>2006-00528</t>
  </si>
  <si>
    <t>2006-00428</t>
  </si>
  <si>
    <t>Seventeenth</t>
  </si>
  <si>
    <t>2006-00324</t>
  </si>
  <si>
    <t>Sixteenth</t>
  </si>
  <si>
    <t>2006-00135</t>
  </si>
  <si>
    <t>Fifteenth</t>
  </si>
  <si>
    <t>2005-00552</t>
  </si>
  <si>
    <t>Fourteenth</t>
  </si>
  <si>
    <t>2005-00399</t>
  </si>
  <si>
    <t>Thirteenth</t>
  </si>
  <si>
    <t>2005-00354</t>
  </si>
  <si>
    <t>Twelfth</t>
  </si>
  <si>
    <t>2005-00271</t>
  </si>
  <si>
    <t>Eleventh</t>
  </si>
  <si>
    <t>2005-00139</t>
  </si>
  <si>
    <t>Tenth</t>
  </si>
  <si>
    <t>2005-00013</t>
  </si>
  <si>
    <t>2005-00398</t>
  </si>
  <si>
    <t>2004-00269</t>
  </si>
  <si>
    <t>2004-00122</t>
  </si>
  <si>
    <t>2003-00504</t>
  </si>
  <si>
    <t>2003-00377</t>
  </si>
  <si>
    <t>2004-00258</t>
  </si>
  <si>
    <t>Canceling</t>
  </si>
  <si>
    <t>Month</t>
  </si>
  <si>
    <t>tbl_TariffRevisions</t>
  </si>
  <si>
    <t>KY</t>
  </si>
  <si>
    <t>PGA</t>
  </si>
  <si>
    <t>WK-GCA (G2 INTERRUPTIBLE) (RF)</t>
  </si>
  <si>
    <t>REFADJ</t>
  </si>
  <si>
    <t>9I09</t>
  </si>
  <si>
    <t>40</t>
  </si>
  <si>
    <t>WK-GCA (G2 INTERRUPTIBLE) (PBRRF)</t>
  </si>
  <si>
    <t>PBRREC</t>
  </si>
  <si>
    <t>WK-GCA (G2 INTERRUPTIBLE) (CF)</t>
  </si>
  <si>
    <t>DEFERRED</t>
  </si>
  <si>
    <t>WK-GCA (G2 INTERRUPTIBLE) (EGC)</t>
  </si>
  <si>
    <t>GASREC</t>
  </si>
  <si>
    <t>GCA G-1HLF (RF)</t>
  </si>
  <si>
    <t>9H30</t>
  </si>
  <si>
    <t>GCA G-1HLF (PBRRF)</t>
  </si>
  <si>
    <t>GCA G-1HLF (CF)</t>
  </si>
  <si>
    <t>GCA G-1HLF (EGC)</t>
  </si>
  <si>
    <t>GAS COST G2 (RF)</t>
  </si>
  <si>
    <t>9H20</t>
  </si>
  <si>
    <t>GAS COST G2 (PBRRF)</t>
  </si>
  <si>
    <t>GAS COST G2 (CF)</t>
  </si>
  <si>
    <t>GAS COST G2 (EGC)</t>
  </si>
  <si>
    <t>GAS COST G1 (RF)</t>
  </si>
  <si>
    <t>9H10</t>
  </si>
  <si>
    <t>GAS COST G1 (PBRRF)</t>
  </si>
  <si>
    <t>GAS COST G1 (CF)</t>
  </si>
  <si>
    <t>GAS COST G1 (EGC)</t>
  </si>
  <si>
    <t>WK-CUSE GAS COST G1 (RF)</t>
  </si>
  <si>
    <t>9GCU</t>
  </si>
  <si>
    <t>WK-CUSE GAS COST G1 (PBRRF)</t>
  </si>
  <si>
    <t>WK-CUSE GAS COST G1 (CF)</t>
  </si>
  <si>
    <t>WK-CUSE GAS COST G1 (EGC)</t>
  </si>
  <si>
    <t>WK-GAS COST CHARGE G2 (RF)</t>
  </si>
  <si>
    <t>9G20</t>
  </si>
  <si>
    <t>WK-GAS COST CHARGE G2 (PBRRF)</t>
  </si>
  <si>
    <t>WK-GAS COST CHARGE G2 (CF)</t>
  </si>
  <si>
    <t>WK-GAS COST CHARGE G2 (EGC)</t>
  </si>
  <si>
    <t>9G19</t>
  </si>
  <si>
    <t>WK-GAS COST CHARGE G1 (RF)</t>
  </si>
  <si>
    <t>9G10</t>
  </si>
  <si>
    <t>WK-GAS COST CHARGE G1 (PBRRF)</t>
  </si>
  <si>
    <t>WK-GAS COST CHARGE G1 (CF)</t>
  </si>
  <si>
    <t>WK-GAS COST CHARGE G1 (EGC)</t>
  </si>
  <si>
    <t>Rate Div</t>
  </si>
  <si>
    <t>State</t>
  </si>
  <si>
    <t>Conversion Factor</t>
  </si>
  <si>
    <t>Grossup Factor</t>
  </si>
  <si>
    <t>Charge Rate</t>
  </si>
  <si>
    <t>Rate Type</t>
  </si>
  <si>
    <t>Effective Date</t>
  </si>
  <si>
    <t>Cmp. Rate</t>
  </si>
  <si>
    <t>Rate Code</t>
  </si>
  <si>
    <t>Pban</t>
  </si>
  <si>
    <t>Tariff Revisions</t>
  </si>
  <si>
    <t>Data Mart Inputs</t>
  </si>
  <si>
    <t>Total Texas Gas Area Non-Commodity</t>
  </si>
  <si>
    <t>Total Texas Gas</t>
  </si>
  <si>
    <t>Total Zone 1 to Zone 3</t>
  </si>
  <si>
    <t>Total SL to Zone 3</t>
  </si>
  <si>
    <t>Total SL to Zone 2</t>
  </si>
  <si>
    <t>Total SL to Zone 4</t>
  </si>
  <si>
    <t>Section 4.1 - FT</t>
  </si>
  <si>
    <t>(Capacity Released)</t>
  </si>
  <si>
    <t xml:space="preserve">   Base Rate</t>
  </si>
  <si>
    <t>31097</t>
  </si>
  <si>
    <t>FT Contract #</t>
  </si>
  <si>
    <t>Section 4.4 - NNS</t>
  </si>
  <si>
    <t>NNS Contract #</t>
  </si>
  <si>
    <t>SL to Zone 4</t>
  </si>
  <si>
    <t>Zone 1 to Zone 3</t>
  </si>
  <si>
    <t>SL to Zone 3</t>
  </si>
  <si>
    <t xml:space="preserve">   Base Rate </t>
  </si>
  <si>
    <t>SL to Zone 2</t>
  </si>
  <si>
    <t>$</t>
  </si>
  <si>
    <t>$/MMbtu</t>
  </si>
  <si>
    <t>MMbtu</t>
  </si>
  <si>
    <t>Total</t>
  </si>
  <si>
    <t>Rate</t>
  </si>
  <si>
    <t>Units</t>
  </si>
  <si>
    <t>Sheet No.</t>
  </si>
  <si>
    <t>Annual</t>
  </si>
  <si>
    <t>Non-Commodity</t>
  </si>
  <si>
    <t>(e)</t>
  </si>
  <si>
    <t>(d)</t>
  </si>
  <si>
    <t>Texas Gas Transmission - Non-Commodity</t>
  </si>
  <si>
    <t>Page 1 of 8</t>
  </si>
  <si>
    <t>Expected Gas Cost (EGC) Calculation</t>
  </si>
  <si>
    <t>Exhibit B</t>
  </si>
  <si>
    <t>Total Tennessee Gas Area FT-G Non-Commodity</t>
  </si>
  <si>
    <t>Total Storage</t>
  </si>
  <si>
    <t xml:space="preserve">    Space Charge</t>
  </si>
  <si>
    <t xml:space="preserve">    Demand</t>
  </si>
  <si>
    <t>Market Area:</t>
  </si>
  <si>
    <t>provide numbers)</t>
  </si>
  <si>
    <t>(need table, Poole will</t>
  </si>
  <si>
    <t>Production Area:</t>
  </si>
  <si>
    <t>Gas Storage</t>
  </si>
  <si>
    <t>23</t>
  </si>
  <si>
    <t>FT-G  Contract #</t>
  </si>
  <si>
    <t>1 to Zone 2</t>
  </si>
  <si>
    <t>Total Zone 0 to 2</t>
  </si>
  <si>
    <t>0 to Zone 2</t>
  </si>
  <si>
    <t>Tennessee Gas Pipeline - Non-Commodity</t>
  </si>
  <si>
    <t>Page 2 of 8</t>
  </si>
  <si>
    <t>39</t>
  </si>
  <si>
    <t>38</t>
  </si>
  <si>
    <t>37</t>
  </si>
  <si>
    <t>Tennessee Gas</t>
  </si>
  <si>
    <t>36</t>
  </si>
  <si>
    <t>35</t>
  </si>
  <si>
    <t>34</t>
  </si>
  <si>
    <t>33</t>
  </si>
  <si>
    <t>1 to Zone 3</t>
  </si>
  <si>
    <t>32</t>
  </si>
  <si>
    <t>31</t>
  </si>
  <si>
    <t>30</t>
  </si>
  <si>
    <t>Average</t>
  </si>
  <si>
    <t>Allocation</t>
  </si>
  <si>
    <t>Offset</t>
  </si>
  <si>
    <t>Texas Gas</t>
  </si>
  <si>
    <t>29</t>
  </si>
  <si>
    <t>Weighted</t>
  </si>
  <si>
    <t>Charge</t>
  </si>
  <si>
    <t>MDQs in</t>
  </si>
  <si>
    <t>28</t>
  </si>
  <si>
    <t>Annualized</t>
  </si>
  <si>
    <t>27</t>
  </si>
  <si>
    <t>26</t>
  </si>
  <si>
    <t>Used to allocate transportation non-commodity</t>
  </si>
  <si>
    <t>25</t>
  </si>
  <si>
    <t>24</t>
  </si>
  <si>
    <t xml:space="preserve"> Total Purchases in Texas Area</t>
  </si>
  <si>
    <t>22</t>
  </si>
  <si>
    <t>21</t>
  </si>
  <si>
    <t>20</t>
  </si>
  <si>
    <t>19</t>
  </si>
  <si>
    <t>Section 4.18.1</t>
  </si>
  <si>
    <t xml:space="preserve">  Fuel and Loss Retention @</t>
  </si>
  <si>
    <t>18</t>
  </si>
  <si>
    <t xml:space="preserve">  Commodity (Zone 3)</t>
  </si>
  <si>
    <t>17</t>
  </si>
  <si>
    <t xml:space="preserve">    Injections</t>
  </si>
  <si>
    <t>16</t>
  </si>
  <si>
    <t xml:space="preserve">   Withdrawals</t>
  </si>
  <si>
    <t>15</t>
  </si>
  <si>
    <t>Net (Injections)/Withdrawals</t>
  </si>
  <si>
    <t>14</t>
  </si>
  <si>
    <t>No Notice Storage</t>
  </si>
  <si>
    <t>13</t>
  </si>
  <si>
    <t>12</t>
  </si>
  <si>
    <t>11</t>
  </si>
  <si>
    <t xml:space="preserve">  ACA</t>
  </si>
  <si>
    <t>10</t>
  </si>
  <si>
    <t xml:space="preserve">  Base (Weighted on MDQs)</t>
  </si>
  <si>
    <t>9</t>
  </si>
  <si>
    <t xml:space="preserve">  Indexed Gas Cost</t>
  </si>
  <si>
    <t>8</t>
  </si>
  <si>
    <t xml:space="preserve"> Firm Transportation</t>
  </si>
  <si>
    <t>7</t>
  </si>
  <si>
    <t>6</t>
  </si>
  <si>
    <t>5</t>
  </si>
  <si>
    <t>4</t>
  </si>
  <si>
    <t>3</t>
  </si>
  <si>
    <t xml:space="preserve"> No Notice Service</t>
  </si>
  <si>
    <t>1</t>
  </si>
  <si>
    <t>Purchases</t>
  </si>
  <si>
    <t>(f)</t>
  </si>
  <si>
    <t>Texas Gas Transmission - Commodity Purchases</t>
  </si>
  <si>
    <t>Page 3 of 8</t>
  </si>
  <si>
    <t>Total Tennessee Gas Zones</t>
  </si>
  <si>
    <t xml:space="preserve">  Total</t>
  </si>
  <si>
    <t xml:space="preserve">  Fuel and Loss Retention</t>
  </si>
  <si>
    <t>Ensure Injection $'s are negative</t>
  </si>
  <si>
    <t xml:space="preserve">  Injection Rate</t>
  </si>
  <si>
    <t xml:space="preserve">  Withdrawal Rate</t>
  </si>
  <si>
    <t xml:space="preserve">  FT-A &amp; FT-G Market Area Injections</t>
  </si>
  <si>
    <t xml:space="preserve">  FT-A &amp; FT-G Market Area Withdrawals</t>
  </si>
  <si>
    <t xml:space="preserve">  Base Rate</t>
  </si>
  <si>
    <t xml:space="preserve"> FT-GS </t>
  </si>
  <si>
    <t xml:space="preserve">  Base Commodity (Weighted on MDQs)</t>
  </si>
  <si>
    <t xml:space="preserve"> FT-A and FT-G </t>
  </si>
  <si>
    <t>Tennessee Gas Pipeline - Commodity Purchases</t>
  </si>
  <si>
    <t>Page 4 of 8</t>
  </si>
  <si>
    <t xml:space="preserve">  Total Trunkline Area Non-Commodity</t>
  </si>
  <si>
    <t xml:space="preserve">  Discount Rate on MDQs</t>
  </si>
  <si>
    <t>014573</t>
  </si>
  <si>
    <t xml:space="preserve">   Injections</t>
  </si>
  <si>
    <t>Proration of Seasonal Rates</t>
  </si>
  <si>
    <t xml:space="preserve">  Base Commodity</t>
  </si>
  <si>
    <t xml:space="preserve">  Expected Volumes</t>
  </si>
  <si>
    <t>Firm Transportation</t>
  </si>
  <si>
    <t>Trunkline Gas Company</t>
  </si>
  <si>
    <t>Page 5 of 8</t>
  </si>
  <si>
    <t xml:space="preserve">  T-3 &amp; T-4</t>
  </si>
  <si>
    <t xml:space="preserve">  G-2</t>
  </si>
  <si>
    <t>Sales:</t>
  </si>
  <si>
    <t xml:space="preserve">  G-1</t>
  </si>
  <si>
    <t>Firm</t>
  </si>
  <si>
    <t>All</t>
  </si>
  <si>
    <t>Mcf @14.65</t>
  </si>
  <si>
    <t>Monthly  Demand Charge</t>
  </si>
  <si>
    <t>Volumetric Basis for</t>
  </si>
  <si>
    <t xml:space="preserve">All </t>
  </si>
  <si>
    <t>Interruptible</t>
  </si>
  <si>
    <t>Volumes</t>
  </si>
  <si>
    <t>Factors</t>
  </si>
  <si>
    <t>Demand Cost Allocation:</t>
  </si>
  <si>
    <t>Monthly Demand Charge</t>
  </si>
  <si>
    <t>Related</t>
  </si>
  <si>
    <t>Allocated</t>
  </si>
  <si>
    <t>Tennessee Gas Pipeline</t>
  </si>
  <si>
    <t>Midwestern</t>
  </si>
  <si>
    <t>Texas Gas Transmission</t>
  </si>
  <si>
    <t>Total Demand Cost:</t>
  </si>
  <si>
    <t>Demand Charge Calculation</t>
  </si>
  <si>
    <t>Page 6 of 8</t>
  </si>
  <si>
    <t>Note: Column (c) is calculated by dividing column (d) by column (a)</t>
  </si>
  <si>
    <t>Total Expected Commodity Cost</t>
  </si>
  <si>
    <t>Total Deliveries</t>
  </si>
  <si>
    <t>Lost &amp; Unaccounted for  @</t>
  </si>
  <si>
    <t>Total Commodity Purchases</t>
  </si>
  <si>
    <t>Local Production</t>
  </si>
  <si>
    <t>Net WKG Storage</t>
  </si>
  <si>
    <t>Withdrawals</t>
  </si>
  <si>
    <t>Injections</t>
  </si>
  <si>
    <t>Company Owned Storage</t>
  </si>
  <si>
    <t>Trunkline Gas Area</t>
  </si>
  <si>
    <t xml:space="preserve">FT-GS </t>
  </si>
  <si>
    <t xml:space="preserve">FT-A and FT-G </t>
  </si>
  <si>
    <t>Tennessee Gas Area</t>
  </si>
  <si>
    <t>Total Texas Gas Area</t>
  </si>
  <si>
    <t>No Notice Service</t>
  </si>
  <si>
    <t>Texas Gas Area</t>
  </si>
  <si>
    <t>Commodity - Total System</t>
  </si>
  <si>
    <t>Page 7 of 8</t>
  </si>
  <si>
    <t>New Load Factor  (line 5 / line 9)</t>
  </si>
  <si>
    <t>Change Peak Day (Gas Control) in November filing each year</t>
  </si>
  <si>
    <t xml:space="preserve"> Mcf/Peak Day</t>
  </si>
  <si>
    <t>temperature days from Peak Day Book - with adjustments per rate filing</t>
  </si>
  <si>
    <t>Estimated total company firm requirements for 5 degree average</t>
  </si>
  <si>
    <t>Peak Day Sales and Transportation Volume</t>
  </si>
  <si>
    <t>Average Daily Sales and Transport Volumes</t>
  </si>
  <si>
    <t>Divided by: Days/Year</t>
  </si>
  <si>
    <t>Total Mcf Billed Demand Charges</t>
  </si>
  <si>
    <t>Transportation</t>
  </si>
  <si>
    <t>Sales Volume</t>
  </si>
  <si>
    <t>Annualized Volumes Subject to Demand Charges</t>
  </si>
  <si>
    <t>MCF</t>
  </si>
  <si>
    <t>Load Factor Calculation for Demand Allocation</t>
  </si>
  <si>
    <t>Page 8 of 8</t>
  </si>
  <si>
    <t>WACOGs</t>
  </si>
  <si>
    <t>Market</t>
  </si>
  <si>
    <t>Storage</t>
  </si>
  <si>
    <t>(This information has been filed under a Petition for Confidentiality)</t>
  </si>
  <si>
    <t>WKG Storage</t>
  </si>
  <si>
    <t>TN Gas Storage</t>
  </si>
  <si>
    <t>TX Gas Storage</t>
  </si>
  <si>
    <t>Trunkline</t>
  </si>
  <si>
    <t>Value</t>
  </si>
  <si>
    <t>Estimated Weighted Average Cost of Gas</t>
  </si>
  <si>
    <t xml:space="preserve">                   Atmos Energy Corporation</t>
  </si>
  <si>
    <t>EXHIBIT C</t>
  </si>
  <si>
    <t>Transaction Costs</t>
  </si>
  <si>
    <t>Hedges</t>
  </si>
  <si>
    <t>Texas Gas (NNS)</t>
  </si>
  <si>
    <t xml:space="preserve">                                     Total</t>
  </si>
  <si>
    <t>Note: Filed under Petition of Confidentiality</t>
  </si>
  <si>
    <t>Change Spot Price Here</t>
  </si>
  <si>
    <t>In support of Item B, a worksheet entitled "Estimated Weighted Average Cost of Gas" has been filed under a Petition for Confidentiality in this Case.</t>
  </si>
  <si>
    <t>B.</t>
  </si>
  <si>
    <t>($/MMBTU)</t>
  </si>
  <si>
    <t>A.</t>
  </si>
  <si>
    <t>The projected commodity price was provided by the Gas Supply Department and was based upon the following:</t>
  </si>
  <si>
    <t>Basis for Indexed Gas Cost</t>
  </si>
  <si>
    <t>Company Owned</t>
  </si>
  <si>
    <t>Storage:</t>
  </si>
  <si>
    <t>Western Kentucky (East Diamond)</t>
  </si>
  <si>
    <t>St. Charles</t>
  </si>
  <si>
    <t>Kirkwood</t>
  </si>
  <si>
    <t>Hickory</t>
  </si>
  <si>
    <t>Grandview</t>
  </si>
  <si>
    <t>Bon Harbor</t>
  </si>
  <si>
    <t>Cost</t>
  </si>
  <si>
    <t>Percent Full</t>
  </si>
  <si>
    <t>WACOG</t>
  </si>
  <si>
    <t>Inventory</t>
  </si>
  <si>
    <t>Capacity</t>
  </si>
  <si>
    <t>Field</t>
  </si>
  <si>
    <t>http://atmosphere.atmosenergy.com/home/depts/shsr/gassupply/storage/index.html?d=2&amp;r=3&amp;t=1</t>
  </si>
  <si>
    <t>Source: AES Storage Positions</t>
  </si>
  <si>
    <t>Estimated Storage</t>
  </si>
  <si>
    <t xml:space="preserve">  / Mcf</t>
  </si>
  <si>
    <t>Correction Factor - Total (CF)</t>
  </si>
  <si>
    <t>Divided By:  Total Expected Customer Sales (b)</t>
  </si>
  <si>
    <t>Correction Factor - Part 2</t>
  </si>
  <si>
    <t>Correction Factor - Part 1</t>
  </si>
  <si>
    <t xml:space="preserve">    Mcf</t>
  </si>
  <si>
    <t>Recovery from outstanding Correction Factor (CF)</t>
  </si>
  <si>
    <t>PBR Savings reflected in Gas Costs</t>
  </si>
  <si>
    <t>Under/(Over) Recovery</t>
  </si>
  <si>
    <t>Total Gas Cost</t>
  </si>
  <si>
    <t xml:space="preserve">                           </t>
  </si>
  <si>
    <t xml:space="preserve">                       </t>
  </si>
  <si>
    <t>Adjustments</t>
  </si>
  <si>
    <t>Amount</t>
  </si>
  <si>
    <t>Gas Cost</t>
  </si>
  <si>
    <t>Volume (Mcf)</t>
  </si>
  <si>
    <t>Recovery</t>
  </si>
  <si>
    <t>Recovered</t>
  </si>
  <si>
    <t>Recoverable</t>
  </si>
  <si>
    <t>Actual Purchased</t>
  </si>
  <si>
    <t>Under (Over)</t>
  </si>
  <si>
    <t>Actual GCA</t>
  </si>
  <si>
    <t>(g)</t>
  </si>
  <si>
    <t>Page 1 of 6</t>
  </si>
  <si>
    <t>Correction Factor (CF)</t>
  </si>
  <si>
    <t>Exhibit D</t>
  </si>
  <si>
    <t xml:space="preserve">  customer activities.</t>
  </si>
  <si>
    <r>
      <t xml:space="preserve">2  </t>
    </r>
    <r>
      <rPr>
        <sz val="11"/>
        <rFont val="Arial"/>
        <family val="2"/>
      </rPr>
      <t xml:space="preserve">Includes Texas Gas No-Notice Service volumes and monthly imbalances related to transportation </t>
    </r>
  </si>
  <si>
    <r>
      <t>1</t>
    </r>
    <r>
      <rPr>
        <sz val="11"/>
        <rFont val="Arial"/>
        <family val="2"/>
      </rPr>
      <t xml:space="preserve">  Includes settlement of historical imbalances and prepaid items.</t>
    </r>
  </si>
  <si>
    <t>Total Purchases</t>
  </si>
  <si>
    <t>Unaccounted For</t>
  </si>
  <si>
    <t>Company Use</t>
  </si>
  <si>
    <t>Change in Unbilled</t>
  </si>
  <si>
    <t>Total Supply</t>
  </si>
  <si>
    <r>
      <t xml:space="preserve">System Imbalances </t>
    </r>
    <r>
      <rPr>
        <vertAlign val="superscript"/>
        <sz val="11"/>
        <rFont val="Arial"/>
        <family val="2"/>
      </rPr>
      <t>2</t>
    </r>
  </si>
  <si>
    <t>Pipeline Imbalances cashed out</t>
  </si>
  <si>
    <t>Third Party Reimbursements</t>
  </si>
  <si>
    <t>Producers</t>
  </si>
  <si>
    <t xml:space="preserve">System Storage </t>
  </si>
  <si>
    <t xml:space="preserve">     Tennessee Gas Pipeline</t>
  </si>
  <si>
    <t xml:space="preserve">     Texas Gas Transmission</t>
  </si>
  <si>
    <t xml:space="preserve">Off System Storage </t>
  </si>
  <si>
    <t>Total Other Suppliers</t>
  </si>
  <si>
    <t>Total Pipeline Supply</t>
  </si>
  <si>
    <r>
      <t xml:space="preserve">     Midwestern Pipeline </t>
    </r>
    <r>
      <rPr>
        <vertAlign val="superscript"/>
        <sz val="11"/>
        <rFont val="Arial"/>
        <family val="2"/>
      </rPr>
      <t>1</t>
    </r>
  </si>
  <si>
    <r>
      <t xml:space="preserve">     Trunkline Gas Company </t>
    </r>
    <r>
      <rPr>
        <vertAlign val="superscript"/>
        <sz val="11"/>
        <rFont val="Arial"/>
        <family val="2"/>
      </rPr>
      <t>1</t>
    </r>
  </si>
  <si>
    <r>
      <t xml:space="preserve">     Tennessee Gas Pipeline </t>
    </r>
    <r>
      <rPr>
        <vertAlign val="superscript"/>
        <sz val="11"/>
        <rFont val="Arial"/>
        <family val="2"/>
      </rPr>
      <t>1</t>
    </r>
  </si>
  <si>
    <r>
      <t xml:space="preserve">     Texas Gas Transmission </t>
    </r>
    <r>
      <rPr>
        <vertAlign val="superscript"/>
        <sz val="11"/>
        <rFont val="Arial"/>
        <family val="2"/>
      </rPr>
      <t>1</t>
    </r>
  </si>
  <si>
    <t>Pipelines:</t>
  </si>
  <si>
    <t>Supply Volume</t>
  </si>
  <si>
    <t>Unit</t>
  </si>
  <si>
    <t>GL</t>
  </si>
  <si>
    <t>Page 2 of 6</t>
  </si>
  <si>
    <t>Recoverable Gas Cost Calculation</t>
  </si>
  <si>
    <r>
      <t xml:space="preserve">2  </t>
    </r>
    <r>
      <rPr>
        <sz val="11"/>
        <rFont val="Arial"/>
        <family val="2"/>
      </rPr>
      <t>Includes Texas Gas No-Notice Service volumes and monthly imbalances related to transportation</t>
    </r>
  </si>
  <si>
    <r>
      <t>1</t>
    </r>
    <r>
      <rPr>
        <sz val="11"/>
        <rFont val="Arial"/>
        <family val="2"/>
      </rPr>
      <t xml:space="preserve">  Includes demand charges, cost of settlement of historical imbalances and prepaid items.</t>
    </r>
  </si>
  <si>
    <t>Total Recoverable Gas Cost</t>
  </si>
  <si>
    <t>Recovered thru Transportation</t>
  </si>
  <si>
    <t>Pipeline Refund + Interest</t>
  </si>
  <si>
    <t>Sub-Total</t>
  </si>
  <si>
    <t xml:space="preserve">     WKG Storage</t>
  </si>
  <si>
    <t>Hedging Settlements</t>
  </si>
  <si>
    <t xml:space="preserve">     Twin Eagle Resource Management</t>
  </si>
  <si>
    <r>
      <t xml:space="preserve">     Trunkline Gas Company  </t>
    </r>
    <r>
      <rPr>
        <vertAlign val="superscript"/>
        <sz val="11"/>
        <rFont val="Arial"/>
        <family val="2"/>
      </rPr>
      <t>1</t>
    </r>
  </si>
  <si>
    <t>Supply Cost</t>
  </si>
  <si>
    <t>Page 3 of 6</t>
  </si>
  <si>
    <t>The prior period adjustments (PPA's) consist of billing revisions/adjustments.</t>
  </si>
  <si>
    <t>NOTE:  The cycle billing is a result of customers being billed by the meter read date.</t>
  </si>
  <si>
    <t>Total Recoveries from Gas Cost Adjustment Factor (GCA)</t>
  </si>
  <si>
    <t>Total Recoveries from Expected Gas Cost (EGC) Factor</t>
  </si>
  <si>
    <t>Total Recovery from Performance Based Rate Recovery Factor (PBRRF)</t>
  </si>
  <si>
    <t>Total Amount Refunded through the Refund Factor (RF)</t>
  </si>
  <si>
    <t xml:space="preserve">Total Recovery from Correction Factor (CF) </t>
  </si>
  <si>
    <t>Timing: Cycle Billing and PPA's</t>
  </si>
  <si>
    <t>Sub Total</t>
  </si>
  <si>
    <t>G-2 Sales</t>
  </si>
  <si>
    <t>G-1 Sales</t>
  </si>
  <si>
    <t>Recoveries</t>
  </si>
  <si>
    <t>Amounts</t>
  </si>
  <si>
    <t>Mcf Sold</t>
  </si>
  <si>
    <t>Type of Sales</t>
  </si>
  <si>
    <t>PBRRF</t>
  </si>
  <si>
    <t>PBR</t>
  </si>
  <si>
    <t>CF</t>
  </si>
  <si>
    <t>(j)</t>
  </si>
  <si>
    <t>(i)</t>
  </si>
  <si>
    <t>(h)</t>
  </si>
  <si>
    <t>Page 4 of 6</t>
  </si>
  <si>
    <t>Recovery from Correction Factors (CF)</t>
  </si>
  <si>
    <t>**** Detail of Volumes and Prices Has Been Filed Under Petition for Confidentiality ****</t>
  </si>
  <si>
    <t/>
  </si>
  <si>
    <t>All Zones</t>
  </si>
  <si>
    <t>Reservation</t>
  </si>
  <si>
    <t>Prepaid</t>
  </si>
  <si>
    <t>Anadarko</t>
  </si>
  <si>
    <t>LG&amp;E Natural</t>
  </si>
  <si>
    <t>Atmos Energy Marketing, LLC</t>
  </si>
  <si>
    <t>ANR Pipeline</t>
  </si>
  <si>
    <t>Midwestern Pipeline</t>
  </si>
  <si>
    <t>Tennessee Gas Pipeline Area</t>
  </si>
  <si>
    <t xml:space="preserve">Total </t>
  </si>
  <si>
    <t>Texas Gas Pipeline Area</t>
  </si>
  <si>
    <t>Traditional and Other Pipelines</t>
  </si>
  <si>
    <t>Page 5 of 6</t>
  </si>
  <si>
    <t>Detail Sheet for Supply Volumes &amp; Costs</t>
  </si>
  <si>
    <t>Fuel Adjustment</t>
  </si>
  <si>
    <t>Midwestern Gas Transmission</t>
  </si>
  <si>
    <t>Engage</t>
  </si>
  <si>
    <t>WESCO</t>
  </si>
  <si>
    <t>Hedging Costs - All Zones</t>
  </si>
  <si>
    <t>ERI</t>
  </si>
  <si>
    <t>Union Pacific Fuels</t>
  </si>
  <si>
    <t>Southern Energy Company</t>
  </si>
  <si>
    <t>CMS</t>
  </si>
  <si>
    <t>Texaco Gas Marketing</t>
  </si>
  <si>
    <t>Cumulative Net Uncollectible Gas Cost</t>
  </si>
  <si>
    <t>Net Uncollectible Gas Cost</t>
  </si>
  <si>
    <t>Margin Collected</t>
  </si>
  <si>
    <t>Gas Cost Collected</t>
  </si>
  <si>
    <t>Total Written Off</t>
  </si>
  <si>
    <t>Taxes &amp; Other Written Off</t>
  </si>
  <si>
    <t>Margin Written Off</t>
  </si>
  <si>
    <t>Gas Cost Written Off</t>
  </si>
  <si>
    <t>Line No.</t>
  </si>
  <si>
    <t>Page 6 of 6</t>
  </si>
  <si>
    <t>End of Database</t>
  </si>
  <si>
    <t>Customer's Share</t>
  </si>
  <si>
    <t>Atmos' Share</t>
  </si>
  <si>
    <t>Total Savings</t>
  </si>
  <si>
    <t>Source: Atmos KY PBR Report</t>
  </si>
  <si>
    <t>PBR Savings</t>
  </si>
  <si>
    <t>Public Authority</t>
  </si>
  <si>
    <t>Industrial</t>
  </si>
  <si>
    <t>Commercial</t>
  </si>
  <si>
    <t>Residential</t>
  </si>
  <si>
    <t>Refund by Class of Customer</t>
  </si>
  <si>
    <t>Carry-over to next GCA Refund</t>
  </si>
  <si>
    <t>Interest Accrued</t>
  </si>
  <si>
    <t>Customers Refund As Filed</t>
  </si>
  <si>
    <t>Refund Detail</t>
  </si>
  <si>
    <t>in the following manner:</t>
  </si>
  <si>
    <t>CERTIFICATE OF COMPLIANCE</t>
  </si>
  <si>
    <t>REFUND PLAN OF                                      )</t>
  </si>
  <si>
    <t>In the Matter of:</t>
  </si>
  <si>
    <t>KENTUCKY PUBLIC SERVICE COMMISSION</t>
  </si>
  <si>
    <t>BEFORE THE</t>
  </si>
  <si>
    <t>Exhibit E</t>
  </si>
  <si>
    <t>COMMONWEALTH OF KENTUCKY</t>
  </si>
  <si>
    <t>Refund</t>
  </si>
  <si>
    <t>Note: Volumes should tie to previous Exhibit D - Recoveries filings</t>
  </si>
  <si>
    <t>W:\Rate Administration\5-Jurisdictional Files\Tennessee\TN Pipeline Refund Workpapers\Refund running 2010 through 2012 files and filings</t>
  </si>
  <si>
    <t>Note: Robert is not with ElPaso anymore.</t>
  </si>
  <si>
    <t>Robert.Wilson@ElPaso.com</t>
  </si>
  <si>
    <t>(713) 420-3377</t>
  </si>
  <si>
    <t>TGP - Transportation Services</t>
  </si>
  <si>
    <t>Robert Wilson</t>
  </si>
  <si>
    <t>Thank you,</t>
  </si>
  <si>
    <t>If you have any questions, or need additional information, please do not hesitate to let me know. You can reach me at 713-420-3377.</t>
  </si>
  <si>
    <t xml:space="preserve">Thank you for the information. Here are the details on the refund we discussed: </t>
  </si>
  <si>
    <t>Joseph,</t>
  </si>
  <si>
    <t>Subject: RE: Bank Instructions</t>
  </si>
  <si>
    <t>To: Pedroncelli, Joseph W</t>
  </si>
  <si>
    <t>Sent: Monday, June 08, 2009 9:28 AM</t>
  </si>
  <si>
    <t xml:space="preserve">From: Wilson, Robert A [mailto:Robert.Wilson@ElPaso.com] </t>
  </si>
  <si>
    <t>/ MCF</t>
  </si>
  <si>
    <t>(Col. 2, line 31 + col. 1, line 35)</t>
  </si>
  <si>
    <t>Total Interruptible Sales Factor</t>
  </si>
  <si>
    <t>713-420-3721</t>
  </si>
  <si>
    <t>(Col. 2, line 31 + col. 1, line 33)</t>
  </si>
  <si>
    <t>Source: Raoul Singh El Paso Corporation</t>
  </si>
  <si>
    <t>Total Firm Sales Factor</t>
  </si>
  <si>
    <t>(Col. 2, line 29)</t>
  </si>
  <si>
    <t>Total Demand Interruptible Factor</t>
  </si>
  <si>
    <t>Victor</t>
  </si>
  <si>
    <t>(Col. 2, lines 29 - 30)</t>
  </si>
  <si>
    <t>Thanks,</t>
  </si>
  <si>
    <t>Total Demand Firm Factor</t>
  </si>
  <si>
    <t>When I average the last 12 months, I get a ¼ %. If I subtract out the ½ of 1%, I get a negative rate (see below). I don’t readily see the back up for the calculations Judy used in previous quarters. Should I apply 0% interest? If not, what should I apply?</t>
  </si>
  <si>
    <t>Commodity Factor</t>
  </si>
  <si>
    <t>in both the Federal Reserve Bulletin and the Federal Reserve Statistical Release.</t>
  </si>
  <si>
    <t>Demand Factor - Firm</t>
  </si>
  <si>
    <t>stated in the KPSC Order from Case No. 7157-KK. These monthly rates are reported</t>
  </si>
  <si>
    <t>Demand Factor - All</t>
  </si>
  <si>
    <t>immediately preceding 12-month period less ½ of 1% to cover the costs of refunding as</t>
  </si>
  <si>
    <t>At a rate equal to the average of the “3-Month Commercial Paper Rates” for the</t>
  </si>
  <si>
    <t>(See Exh. B, p. 6, col. 2, line 28)</t>
  </si>
  <si>
    <t>I am working on the May, 2011 GCA and specifically Exhibit E for Refunds. Our tariff reads that the interest rate is calculated as:</t>
  </si>
  <si>
    <t>All Volumes (excluding Transportation)</t>
  </si>
  <si>
    <t>I received the KPSC order authorizing our April, 2011 GCA rate change. I filed the related compliance tariffs in today’s mail. Thanks again for your help and guidance!</t>
  </si>
  <si>
    <t>(See Exh. B, p. 6, col. 3, line 28)</t>
  </si>
  <si>
    <t>Hello Leah!</t>
  </si>
  <si>
    <t>Firm Volumes (normalized)</t>
  </si>
  <si>
    <t>(1 - Demand Allocator - All)</t>
  </si>
  <si>
    <t>Subject: Interest on Refunds</t>
  </si>
  <si>
    <t>Demand Allocator - Firm</t>
  </si>
  <si>
    <t>To: Faulkner, Leah (PSC)</t>
  </si>
  <si>
    <t>(See Exh. B, p. 8, line 12)</t>
  </si>
  <si>
    <t>Sent: Tuesday, March 22, 2011 4:00 PM</t>
  </si>
  <si>
    <t>Demand Allocator - All</t>
  </si>
  <si>
    <t xml:space="preserve">From: Edwards, Victor [mailto:Victor.Edwards@atmosenergy.com] </t>
  </si>
  <si>
    <t>--------------------------------------------------------------------------------</t>
  </si>
  <si>
    <t>Refund Calculation</t>
  </si>
  <si>
    <t xml:space="preserve">I know I've seen others use zero for the interest rate as well. </t>
  </si>
  <si>
    <t>Interest (Line 14 x Line 5)</t>
  </si>
  <si>
    <t>Total (w/o interest)</t>
  </si>
  <si>
    <t>Balance to be Refunded</t>
  </si>
  <si>
    <t>Victor, looking back, I also was not able to determine how Judy calculated the interest rate she used. I then went to LG&amp;E's most recent GCA application, and this is what they said:</t>
  </si>
  <si>
    <t>(3)</t>
  </si>
  <si>
    <t>(2)</t>
  </si>
  <si>
    <t>(1)</t>
  </si>
  <si>
    <t>Less: Costs</t>
  </si>
  <si>
    <t>preceding 12-month period less 1/2 of 1% to cover the costs of refunding.</t>
  </si>
  <si>
    <t>Average of the 3-Month Commercial Paper Rates for the immediately</t>
  </si>
  <si>
    <t>Amount to flow-through</t>
  </si>
  <si>
    <t>Less:  amount related to specific end users</t>
  </si>
  <si>
    <t>Tennessee Gas Pipeline PCB/HSL Refund, Docket Nos. RP91-203 &amp; RP92-132</t>
  </si>
  <si>
    <t>AMOUNT</t>
  </si>
  <si>
    <t>Amounts Reported:</t>
  </si>
  <si>
    <t>(RF)</t>
  </si>
  <si>
    <t>3 Month Commercial Paper Rates</t>
  </si>
  <si>
    <t>Effective Period</t>
  </si>
  <si>
    <t>Production Period</t>
  </si>
  <si>
    <t>GL Period</t>
  </si>
  <si>
    <t>Kentucky GCA Filing Control</t>
  </si>
  <si>
    <t>B.1</t>
  </si>
  <si>
    <t>B.2</t>
  </si>
  <si>
    <t>B.3</t>
  </si>
  <si>
    <t>B.4</t>
  </si>
  <si>
    <t>B.5</t>
  </si>
  <si>
    <t>B.6</t>
  </si>
  <si>
    <t>B.7</t>
  </si>
  <si>
    <t>B.8</t>
  </si>
  <si>
    <t>Tariff Sheets</t>
  </si>
  <si>
    <t>C.1</t>
  </si>
  <si>
    <t>C.2</t>
  </si>
  <si>
    <t>T.4</t>
  </si>
  <si>
    <t>T.5</t>
  </si>
  <si>
    <t>T.6</t>
  </si>
  <si>
    <t>Exhibit A - Comparison of Current and Previous Cases</t>
  </si>
  <si>
    <t>Exhibit B - Excpected Gas Cost (EGC) Calculation</t>
  </si>
  <si>
    <t>Exhibit C - Rates Used in Expected Gas Cost Calulation</t>
  </si>
  <si>
    <t>Exhibit D - Correction Factor (CF) Calculation</t>
  </si>
  <si>
    <t>Exhibit E - Refund Factor (RF)</t>
  </si>
  <si>
    <t>E.1</t>
  </si>
  <si>
    <t>E.2</t>
  </si>
  <si>
    <t>D.1</t>
  </si>
  <si>
    <t>D.2</t>
  </si>
  <si>
    <t>D.3</t>
  </si>
  <si>
    <t>D.4</t>
  </si>
  <si>
    <t>D.5</t>
  </si>
  <si>
    <t>D.6</t>
  </si>
  <si>
    <t>Summary</t>
  </si>
  <si>
    <t>Recovery from Correction Factors</t>
  </si>
  <si>
    <t>Recoverable Gas Cost Calculation - Volume</t>
  </si>
  <si>
    <t>Recoverable Gas Cost Calculation - Cost</t>
  </si>
  <si>
    <r>
      <t xml:space="preserve">Detail Sheet for Supply Volumes &amp; Costs </t>
    </r>
    <r>
      <rPr>
        <b/>
        <sz val="11"/>
        <color rgb="FFFF0000"/>
        <rFont val="Calibri"/>
        <family val="2"/>
        <scheme val="minor"/>
      </rPr>
      <t>**Confidential**</t>
    </r>
  </si>
  <si>
    <r>
      <t xml:space="preserve">Estimated Average Cost of Goods (EWACOG) </t>
    </r>
    <r>
      <rPr>
        <b/>
        <sz val="11"/>
        <color rgb="FFFF0000"/>
        <rFont val="Calibri"/>
        <family val="2"/>
        <scheme val="minor"/>
      </rPr>
      <t>**Confidential**</t>
    </r>
  </si>
  <si>
    <t>WPD.1</t>
  </si>
  <si>
    <t>PBR Report</t>
  </si>
  <si>
    <t>WPE.1</t>
  </si>
  <si>
    <t>Volumes by Customer Class</t>
  </si>
  <si>
    <t>Control - Common Input for Dates</t>
  </si>
  <si>
    <t>Workpapers &amp; Support</t>
  </si>
  <si>
    <t>Tarif Revision</t>
  </si>
  <si>
    <t>Current Rate Summary</t>
  </si>
  <si>
    <t>Update WPT.1 - Tariff Revisions Table First</t>
  </si>
  <si>
    <t>WPT.1</t>
  </si>
  <si>
    <t>Current Gas Cost Adjustments</t>
  </si>
  <si>
    <t>2012-00480</t>
  </si>
  <si>
    <t>Kentuck GCA Table of Contents</t>
  </si>
  <si>
    <t>Out-of-Cycle</t>
  </si>
  <si>
    <t>Secondary Review</t>
  </si>
  <si>
    <t>Initial Review</t>
  </si>
  <si>
    <t>A1 PBRF</t>
  </si>
  <si>
    <t>Sales Factors</t>
  </si>
  <si>
    <t>Carry-over</t>
  </si>
  <si>
    <t>PBR Results from Gas Supply</t>
  </si>
  <si>
    <t>Company Share</t>
  </si>
  <si>
    <t>E2</t>
  </si>
  <si>
    <t>A1 Refund Factor</t>
  </si>
  <si>
    <t>E1</t>
  </si>
  <si>
    <t>Verify Ending Balance Against GL</t>
  </si>
  <si>
    <t>Update in February Filing</t>
  </si>
  <si>
    <t>D6</t>
  </si>
  <si>
    <t>D3 Total other suppliers (row 9)</t>
  </si>
  <si>
    <t>Total Cost (row 62)</t>
  </si>
  <si>
    <t>D2 Total other suppliers (row 8)</t>
  </si>
  <si>
    <t>Total Volume (row 62)</t>
  </si>
  <si>
    <t>D5</t>
  </si>
  <si>
    <t>Total GCA Recovery Amount</t>
  </si>
  <si>
    <t>D4</t>
  </si>
  <si>
    <t>General Ledger 8XXX USD</t>
  </si>
  <si>
    <t>D3</t>
  </si>
  <si>
    <t>General Ledger 8XXX STAT</t>
  </si>
  <si>
    <t>D2</t>
  </si>
  <si>
    <t>1910-14088 Reconciliation</t>
  </si>
  <si>
    <t>D1</t>
  </si>
  <si>
    <t>C2</t>
  </si>
  <si>
    <t>Update current NYMEX Futures</t>
  </si>
  <si>
    <t>C1</t>
  </si>
  <si>
    <t>Exhibit C</t>
  </si>
  <si>
    <t>Peak Day report from gas supply</t>
  </si>
  <si>
    <t>Update Peak Day with November Filing</t>
  </si>
  <si>
    <t>B8</t>
  </si>
  <si>
    <t>B7</t>
  </si>
  <si>
    <t>B6</t>
  </si>
  <si>
    <t>B5</t>
  </si>
  <si>
    <t>B4</t>
  </si>
  <si>
    <t>B3</t>
  </si>
  <si>
    <t>B2</t>
  </si>
  <si>
    <t>B1</t>
  </si>
  <si>
    <t>Checklist</t>
  </si>
  <si>
    <t xml:space="preserve">Issue Date </t>
  </si>
  <si>
    <t>Revision Numbers</t>
  </si>
  <si>
    <t>Checklist: Filing Date</t>
  </si>
  <si>
    <t>Filing Date</t>
  </si>
  <si>
    <t>Checklist: Effective Date</t>
  </si>
  <si>
    <t>Checklist: quarter starting with Effective Date</t>
  </si>
  <si>
    <t>Tariff Page 5</t>
  </si>
  <si>
    <t>Period</t>
  </si>
  <si>
    <t>C</t>
  </si>
  <si>
    <t>Filing Notice</t>
  </si>
  <si>
    <t>Primary Review</t>
  </si>
  <si>
    <t>Against</t>
  </si>
  <si>
    <t>Verify</t>
  </si>
  <si>
    <t>Previous Case No.</t>
  </si>
  <si>
    <t>Last Effective Date</t>
  </si>
  <si>
    <t>Gas Cost Adjustment Filing Checklist</t>
  </si>
  <si>
    <t>Kentucky Service Area</t>
  </si>
  <si>
    <t>Kentucky/Mid-States Division</t>
  </si>
  <si>
    <t>2012-00587</t>
  </si>
  <si>
    <r>
      <t>DATE OF ISSUE</t>
    </r>
    <r>
      <rPr>
        <u/>
        <sz val="10"/>
        <color theme="1"/>
        <rFont val="Times New Roman"/>
        <family val="1"/>
      </rPr>
      <t xml:space="preserve">  </t>
    </r>
  </si>
  <si>
    <t xml:space="preserve">MONTH / DATE / YEAR </t>
  </si>
  <si>
    <r>
      <t>DATE EFFECTIVE</t>
    </r>
    <r>
      <rPr>
        <u/>
        <sz val="10"/>
        <color theme="1"/>
        <rFont val="Times New Roman"/>
        <family val="1"/>
      </rPr>
      <t xml:space="preserve">  </t>
    </r>
  </si>
  <si>
    <r>
      <t>ISSUED BY</t>
    </r>
    <r>
      <rPr>
        <u/>
        <sz val="10"/>
        <color theme="1"/>
        <rFont val="Times New Roman"/>
        <family val="1"/>
      </rPr>
      <t xml:space="preserve">  </t>
    </r>
  </si>
  <si>
    <t>/s/ Mark A. Martin</t>
  </si>
  <si>
    <t>SIGNATURE  OF OFFICER</t>
  </si>
  <si>
    <t>TITLE</t>
  </si>
  <si>
    <t>Vice President – Rates &amp; Regulatory Affairs</t>
  </si>
  <si>
    <t>Order Date</t>
  </si>
  <si>
    <t>BY AUTHORITY OF ORDER OF THE PUBLIC SERVICE COMMISSION</t>
  </si>
  <si>
    <t>IN CASE NO</t>
  </si>
  <si>
    <t>DATED</t>
  </si>
  <si>
    <t>ELEVENTH</t>
  </si>
  <si>
    <t>TWELFTH</t>
  </si>
  <si>
    <t>THIRTEENTH</t>
  </si>
  <si>
    <t>FOURTEENTH</t>
  </si>
  <si>
    <t>FIFTEENTH</t>
  </si>
  <si>
    <t>SIXTEENTH</t>
  </si>
  <si>
    <t>SEVENTEENTH</t>
  </si>
  <si>
    <t>EIGHTEENTH</t>
  </si>
  <si>
    <t>NINETEENTH</t>
  </si>
  <si>
    <t>TWENTIETH</t>
  </si>
  <si>
    <t>TWENTY-FIRST</t>
  </si>
  <si>
    <t>TWENTY-SECOND</t>
  </si>
  <si>
    <t>TWENTY-FOURTH</t>
  </si>
  <si>
    <t>TWENTY-FIFTH</t>
  </si>
  <si>
    <t>TWENTY-SIXTH</t>
  </si>
  <si>
    <t>TWENTY-SEVENTH</t>
  </si>
  <si>
    <t>TWENTY-EIGHTH</t>
  </si>
  <si>
    <t>TWENTY-NINTH</t>
  </si>
  <si>
    <t>THIRTIETH</t>
  </si>
  <si>
    <t>THIRTY-FIRST</t>
  </si>
  <si>
    <t>THIRTY-SECOND</t>
  </si>
  <si>
    <t>THIRTY-THIRD</t>
  </si>
  <si>
    <t>THIRTY-FOURTH</t>
  </si>
  <si>
    <t>THIRTY-FIFTH</t>
  </si>
  <si>
    <t>THIRTY-SIXTH</t>
  </si>
  <si>
    <t>THIRTY-SEVENTH</t>
  </si>
  <si>
    <t>THIRTY-EIGHTH</t>
  </si>
  <si>
    <t>THIRTY-NINTH</t>
  </si>
  <si>
    <t>FORTIETH</t>
  </si>
  <si>
    <t>FORTY-FIRST</t>
  </si>
  <si>
    <t>FORTY-SECOND</t>
  </si>
  <si>
    <t>FORTY-THIRD</t>
  </si>
  <si>
    <t>FORTY-FOURTH</t>
  </si>
  <si>
    <t>FORTY-FIFTH</t>
  </si>
  <si>
    <t>FORTY-SIXTH</t>
  </si>
  <si>
    <t>FORTY-SEVENTH</t>
  </si>
  <si>
    <t>FORTY-EIGHTH</t>
  </si>
  <si>
    <t>FORTY-NINTH</t>
  </si>
  <si>
    <t>FIFTIETH</t>
  </si>
  <si>
    <t>FIFTY-FIRST</t>
  </si>
  <si>
    <t>FIFTY-SECOND</t>
  </si>
  <si>
    <t>FIFTY-THIRD</t>
  </si>
  <si>
    <t>FIFTY-FOURTH</t>
  </si>
  <si>
    <t>NAME OF UTILITY</t>
  </si>
  <si>
    <t>FOR ENTIRE SERVICE AREA</t>
  </si>
  <si>
    <t>CANCELLING</t>
  </si>
  <si>
    <t>FT-A  Contract #</t>
  </si>
  <si>
    <t>Zone 2 to Zone 4</t>
  </si>
  <si>
    <t>Total Zone 2 to Zone 4</t>
  </si>
  <si>
    <t>2 to Zone 4</t>
  </si>
  <si>
    <t>41</t>
  </si>
  <si>
    <t>2013-00123</t>
  </si>
  <si>
    <t>FIFTY-FIFTH</t>
  </si>
  <si>
    <t>http://www.federalreserve.gov/releases/h15/data/Monthly/H15_NFCP_M3.txt</t>
  </si>
  <si>
    <t>WP-E.1</t>
  </si>
  <si>
    <t>P</t>
  </si>
  <si>
    <t>Previous E1 Amount to flow-through</t>
  </si>
  <si>
    <t>ATMOS ENERGY CORPORATION             )</t>
  </si>
  <si>
    <t>Checklist: last day of quarter containing the Effective Date</t>
  </si>
  <si>
    <t>SAP GCR Price Keys Maintenance Request Form</t>
  </si>
  <si>
    <t>Compay</t>
  </si>
  <si>
    <t>Price Key</t>
  </si>
  <si>
    <t>Current Effective dates</t>
  </si>
  <si>
    <t>Sub-Components</t>
  </si>
  <si>
    <t>New Effective date</t>
  </si>
  <si>
    <t>New Price Amount</t>
  </si>
  <si>
    <t>Banner Rate</t>
  </si>
  <si>
    <t>RC</t>
  </si>
  <si>
    <t>GCR Rate</t>
  </si>
  <si>
    <t>LITYP</t>
  </si>
  <si>
    <t>Price Key Description</t>
  </si>
  <si>
    <t>Billing Class</t>
  </si>
  <si>
    <t>Atributes</t>
  </si>
  <si>
    <t>Valid from</t>
  </si>
  <si>
    <t>Valid To</t>
  </si>
  <si>
    <t>Price Amount</t>
  </si>
  <si>
    <t>9G19-9GCU</t>
  </si>
  <si>
    <t>KYAU_GSF</t>
  </si>
  <si>
    <t>KYAU_GCR</t>
  </si>
  <si>
    <t>Y00003</t>
  </si>
  <si>
    <t>KYAU_GCR7</t>
  </si>
  <si>
    <t>KY-GAS COST RECOVERY-FIRM ATMOS USE (G1)</t>
  </si>
  <si>
    <t>KYAU</t>
  </si>
  <si>
    <t>GL Posting Relevant</t>
  </si>
  <si>
    <t>KYCM_GSF</t>
  </si>
  <si>
    <t>KYCM_GCR</t>
  </si>
  <si>
    <t>KYCM_GCR1</t>
  </si>
  <si>
    <t>KY-GAS COST RECOVERY-FIRM COM (G1)</t>
  </si>
  <si>
    <t>KYCM</t>
  </si>
  <si>
    <t>Z00005</t>
  </si>
  <si>
    <t>KYCM_G1_DB</t>
  </si>
  <si>
    <t>KY- BAD DEBT GAS COST RECOVERIES      </t>
  </si>
  <si>
    <t>GCR Subcomponent</t>
  </si>
  <si>
    <t>Z00007</t>
  </si>
  <si>
    <t>KYCM_G1_DF</t>
  </si>
  <si>
    <t>KY- DEFERRED RECOVERIES    </t>
  </si>
  <si>
    <t>Z00008</t>
  </si>
  <si>
    <t>KYCM_G1_GR</t>
  </si>
  <si>
    <t>KY- GAS COST RECOVERIES   </t>
  </si>
  <si>
    <t>Z00017</t>
  </si>
  <si>
    <t>KYCM_G1_PB</t>
  </si>
  <si>
    <t>KY- PERFORMANCE BASED RATES             </t>
  </si>
  <si>
    <t>Z00014</t>
  </si>
  <si>
    <t>KYCM_G1_RA</t>
  </si>
  <si>
    <t>KY- PIPELINE REFUNDS            </t>
  </si>
  <si>
    <t>KYCM_GSI</t>
  </si>
  <si>
    <t>KYCM_GCR2</t>
  </si>
  <si>
    <t>KY GAS COST RECOVERY-INTR COM (G2)</t>
  </si>
  <si>
    <t>KYCM_G2_DB</t>
  </si>
  <si>
    <t>BDP</t>
  </si>
  <si>
    <t>KYCM_G2_DF</t>
  </si>
  <si>
    <t>DFP</t>
  </si>
  <si>
    <t>KYCM_G2_GR</t>
  </si>
  <si>
    <t>GRP</t>
  </si>
  <si>
    <t>KYCM_G2_PB</t>
  </si>
  <si>
    <t>PBP</t>
  </si>
  <si>
    <t>KYCM_G2_RA</t>
  </si>
  <si>
    <t>KY- PIPELINE REFUNDS                     </t>
  </si>
  <si>
    <t>RAP</t>
  </si>
  <si>
    <t>KYND_GSF</t>
  </si>
  <si>
    <t>KYND_GCR</t>
  </si>
  <si>
    <t>KYND_GCR4</t>
  </si>
  <si>
    <t>KY-GAS COST RECOVERY-FIRM IND (G1)</t>
  </si>
  <si>
    <t>KYND</t>
  </si>
  <si>
    <t>KYND_G4_DB</t>
  </si>
  <si>
    <t>KYND_G4_DF</t>
  </si>
  <si>
    <t>KY- DEFERRED RECOVERIES                  </t>
  </si>
  <si>
    <t>KYND_G4_GR</t>
  </si>
  <si>
    <t>KY- GAS COST RECOVERIES    </t>
  </si>
  <si>
    <t>KYND_G4_PB</t>
  </si>
  <si>
    <t>KY- PERFORMANCE BASED RATES                </t>
  </si>
  <si>
    <t>KYND_G4_RA</t>
  </si>
  <si>
    <t>KY- PIPELINE REFUNDS                    </t>
  </si>
  <si>
    <t>KYND_GSI</t>
  </si>
  <si>
    <t>KYND_GCR5</t>
  </si>
  <si>
    <t>KY GAS COST RECOVERY-INTR IND (G2)</t>
  </si>
  <si>
    <t>KYND_G5_DB</t>
  </si>
  <si>
    <t>KYND_G5_DF</t>
  </si>
  <si>
    <t>KYND_G5_GR</t>
  </si>
  <si>
    <t>KYND_G5_PB</t>
  </si>
  <si>
    <t>KYND_G5_RA</t>
  </si>
  <si>
    <t>KYPA_GSF</t>
  </si>
  <si>
    <t>KYPA_GCR</t>
  </si>
  <si>
    <t>KYPA_GCR2</t>
  </si>
  <si>
    <t>KY-GAS COST RECOVERY-FIRM PA (G1)</t>
  </si>
  <si>
    <t>KYPA</t>
  </si>
  <si>
    <t>KYPA_G2_DB</t>
  </si>
  <si>
    <t>KY- BAD DEBT GAS COST RECOVERIES          </t>
  </si>
  <si>
    <t>KYPA_G2_DF</t>
  </si>
  <si>
    <t>KY- DEFERRED RECOVERIES                      </t>
  </si>
  <si>
    <t>KYPA_G2_GR</t>
  </si>
  <si>
    <t>KY- GAS COST RECOVERIES         </t>
  </si>
  <si>
    <t>KYPA_G2_PB</t>
  </si>
  <si>
    <t>KY- PERFORMANCE BASED RATES                  </t>
  </si>
  <si>
    <t>KYPA_G2_RA</t>
  </si>
  <si>
    <t>KY- PIPELINE REFUNDS                          </t>
  </si>
  <si>
    <t>KYRS_GSF</t>
  </si>
  <si>
    <t>KYRS_GCR</t>
  </si>
  <si>
    <t>KYRS_GCR3</t>
  </si>
  <si>
    <t>KY-GAS COST RECOVERY-FIRM RES (G1)</t>
  </si>
  <si>
    <t>KYRS</t>
  </si>
  <si>
    <t>KYRS_G3_DB</t>
  </si>
  <si>
    <t>KY- BAD DEBT GAS COST RECOVERIES         </t>
  </si>
  <si>
    <t>KYRS_G3_DF</t>
  </si>
  <si>
    <t>KY- DEFERRED RECOVERIES                   </t>
  </si>
  <si>
    <t>KYRS_G3_GR</t>
  </si>
  <si>
    <t>KY- GAS COST RECOVERIES       </t>
  </si>
  <si>
    <t>KYRS_G3_PB</t>
  </si>
  <si>
    <t>KYRS_G3_RA</t>
  </si>
  <si>
    <t>KY- PIPELINE REFUNDS                       </t>
  </si>
  <si>
    <t>KYRS_GSFP</t>
  </si>
  <si>
    <t>Approved by</t>
  </si>
  <si>
    <t xml:space="preserve">Verified by </t>
  </si>
  <si>
    <t>2013-00246</t>
  </si>
  <si>
    <t>FIFTY-SIXTH</t>
  </si>
  <si>
    <t>Tennessee Gas Pipeline Rate Case Refund, Docket No. RP11-1566</t>
  </si>
  <si>
    <t>“During the 1990’s, Tennessee Gas Pipeline (TGP) collected a PCB surcharge from our customers to aide in PCB cleanup expenses. The end result is that there is a surcharge overage; therefore, the customers that TGP collected surcharges from are entitled to</t>
  </si>
  <si>
    <t>In the 1990’s TGP transported natural gas for and collected PCB surcharges from Atmos Energy Corporation: Kentucky, Louisiana, and Tennessee. Therefore, these three entities are entitled to a refund in accordance with TGP’s PCB Settlement. Atmos Energy Co</t>
  </si>
  <si>
    <t xml:space="preserve">Over-Refunded Amount of Pipeline Refunds </t>
  </si>
  <si>
    <t>Checklist: quarter starting with Last  Effective Date</t>
  </si>
  <si>
    <t>Checklist - Filing Date</t>
  </si>
  <si>
    <t>Margin Report/Recovery Worksheet</t>
  </si>
  <si>
    <t>Recovery Amounts (Correction Factor, Refund Factor, PBR and GCA)</t>
  </si>
  <si>
    <t>SAP Rate Maintenance Form</t>
  </si>
  <si>
    <t>Firm Rates (KYCM_GCR, KYND_GCR, KYPA_GCR, KYRS_GCR, KYRS_GCR)</t>
  </si>
  <si>
    <t>Interruptible Rates (KYCM_GCR, KYND_GCR)</t>
  </si>
  <si>
    <t>Btu Conversion Factor Report</t>
  </si>
  <si>
    <t>NYMEX Futures Worksheet Summary</t>
  </si>
  <si>
    <t>Customer Refund As Filed</t>
  </si>
  <si>
    <t>FIFTY-SEVENTH</t>
  </si>
  <si>
    <t>2013-00357</t>
  </si>
  <si>
    <t>Performance Based Rate Recovery Factor</t>
  </si>
  <si>
    <t>(PBRRF)</t>
  </si>
  <si>
    <t>Carry-over Amount in Case No. 2010-00526</t>
  </si>
  <si>
    <t>Less:  Amount related to specific end users</t>
  </si>
  <si>
    <t>Company share of PBR activity</t>
  </si>
  <si>
    <t>PBR Calculation</t>
  </si>
  <si>
    <t>(See Exh. B, p. 6, line 10)</t>
  </si>
  <si>
    <t>(See Exh. B, p. 6, col. (a), line 19)</t>
  </si>
  <si>
    <t>(See Exh. B, p. 6, col. (b), line 28)</t>
  </si>
  <si>
    <t>Total Sales Factor (Line 15 / Line 26)</t>
  </si>
  <si>
    <t>Total Interruptible Sales Factor (Line 29)</t>
  </si>
  <si>
    <t xml:space="preserve">EXHIBIT E </t>
  </si>
  <si>
    <t>Performance Based Rate Recovery - Residual Balance Calculation</t>
  </si>
  <si>
    <t xml:space="preserve">Workpaper 1 </t>
  </si>
  <si>
    <t>For Reconciliation to the General Ledger</t>
  </si>
  <si>
    <t>True-Up of PBR Savings for Nov 10 - Oct 11</t>
  </si>
  <si>
    <t>Total PBR</t>
  </si>
  <si>
    <t>Activity</t>
  </si>
  <si>
    <t>Sales</t>
  </si>
  <si>
    <t>Balance</t>
  </si>
  <si>
    <t>Revisions</t>
  </si>
  <si>
    <t>(d) + (e) = (f)</t>
  </si>
  <si>
    <t>Prior (g) - (f) = (g)</t>
  </si>
  <si>
    <t>(h) - Gas Supply</t>
  </si>
  <si>
    <t>(k)</t>
  </si>
  <si>
    <t>Balance Forward (from above)</t>
  </si>
  <si>
    <t>Atmos Cares</t>
  </si>
  <si>
    <t>Rev/True-Ups</t>
  </si>
  <si>
    <t>YE Atmos Cares</t>
  </si>
  <si>
    <t>Oct 2011 Rev</t>
  </si>
  <si>
    <t>Final Atmos KY Share</t>
  </si>
  <si>
    <t xml:space="preserve"> </t>
  </si>
  <si>
    <t>Company Share of 11/12-10/13 PBR Activity</t>
  </si>
  <si>
    <t xml:space="preserve">Balance Filed in Case No. </t>
  </si>
  <si>
    <t xml:space="preserve">Carry-over Amount in Case No. </t>
  </si>
  <si>
    <t>2013-00484</t>
  </si>
  <si>
    <t>Distribution Charge (per Case No. 2013-00148)</t>
  </si>
  <si>
    <t>FIRST</t>
  </si>
  <si>
    <t>P.S.C. KY NO. 2</t>
  </si>
  <si>
    <t>ORIGINAL</t>
  </si>
  <si>
    <t>Simple Margin / Distribution Charge (per Case No. 2013-00148)</t>
  </si>
  <si>
    <t>SECOND</t>
  </si>
  <si>
    <t>Chevron Natural Gas, Inc.</t>
  </si>
  <si>
    <t>D.1-(c)10</t>
  </si>
  <si>
    <t>decreasing</t>
  </si>
  <si>
    <t>2014-00114</t>
  </si>
  <si>
    <t>2014-00299</t>
  </si>
  <si>
    <t>2014-00212</t>
  </si>
  <si>
    <t>DSM, PRP and R&amp;D Riders may also apply, where applicable.</t>
  </si>
  <si>
    <t xml:space="preserve">                </t>
  </si>
  <si>
    <t>Check Figure:</t>
  </si>
  <si>
    <t>Tariff Revision Numbers</t>
  </si>
  <si>
    <t>Exhibit A page 1, Line 14 , column (b)</t>
  </si>
  <si>
    <t>Checklist - Effective Date</t>
  </si>
  <si>
    <t>2014-00349</t>
  </si>
  <si>
    <t>THIRD</t>
  </si>
  <si>
    <t>Twelve Months Ended November, 2014</t>
  </si>
  <si>
    <t>EGC</t>
  </si>
  <si>
    <t>EGC Recovery</t>
  </si>
  <si>
    <t>Storage volumes &amp; dollars are at the correct sign - column (d) Line(s) 15 and 16</t>
  </si>
  <si>
    <t>Volumes - column (d) Line(s) 1, 7, 15, 16, and 22</t>
  </si>
  <si>
    <t>Exhibit C page 1 - Change Spot Price Here</t>
  </si>
  <si>
    <t>Indexed gas cost price - column (e) Line(s) 2 and 8</t>
  </si>
  <si>
    <t>Storage Rate - column (e) Line 15</t>
  </si>
  <si>
    <t>Indexed gas cost price - column (e) Line(s) 2 and 9</t>
  </si>
  <si>
    <t>Storage volumes &amp; dollars are at the correct sign - column (d) Line(s) 16 and 17</t>
  </si>
  <si>
    <t>Storage Rate - column (e) Line 16</t>
  </si>
  <si>
    <t>Indexed gas cost price - column (e) Line 3</t>
  </si>
  <si>
    <t>Volumes - column (a) Line(s) 19, 23, &amp; 26</t>
  </si>
  <si>
    <r>
      <t>Sales Budgeted Volumes *Only revise for February 1</t>
    </r>
    <r>
      <rPr>
        <vertAlign val="superscript"/>
        <sz val="11"/>
        <color theme="1"/>
        <rFont val="Calibri"/>
        <family val="2"/>
        <scheme val="minor"/>
      </rPr>
      <t>st</t>
    </r>
    <r>
      <rPr>
        <sz val="11"/>
        <color theme="1"/>
        <rFont val="Calibri"/>
        <family val="2"/>
        <scheme val="minor"/>
      </rPr>
      <t xml:space="preserve"> filing</t>
    </r>
  </si>
  <si>
    <t xml:space="preserve"> Gas Supply Plan -W.P B.8 Local Production</t>
  </si>
  <si>
    <t>Gas Supply Plan(s) /Exhibit B (AES Hedging Position)</t>
  </si>
  <si>
    <t>PBR Savings - column (c) Line 10</t>
  </si>
  <si>
    <t>PBR Savings Report (W.P-D.1)</t>
  </si>
  <si>
    <t>Over/Under Beginning Balance - column (f) line 13</t>
  </si>
  <si>
    <t>Over/Under Ending Balance - column (f) line 17</t>
  </si>
  <si>
    <t>Exhibit D Page 1 - column (c) Line 8</t>
  </si>
  <si>
    <t>Date - (paragraph 2)</t>
  </si>
  <si>
    <t>GCA Rates - (paragraph 3)</t>
  </si>
  <si>
    <t>Prior case number - (paragraph 4)</t>
  </si>
  <si>
    <t>Dates - (item 1)</t>
  </si>
  <si>
    <t>Prior Rates - column (a)</t>
  </si>
  <si>
    <t>Current Rates - column (b) Line(s) 4, 5, and 6</t>
  </si>
  <si>
    <t>Current Rates - column (b) Line(s) 19, 20, and 21</t>
  </si>
  <si>
    <t>Current Rates - column (b) Line(s) 27 and 28</t>
  </si>
  <si>
    <t>Current Rates - column (b) Line(s) 41 and 42</t>
  </si>
  <si>
    <t>Current Rates - column (b) Line(s) 12 and 13</t>
  </si>
  <si>
    <t>Tariff Page 4 - Transportation (T-4)</t>
  </si>
  <si>
    <t>Tariff Page 4 - Sales (G-1)</t>
  </si>
  <si>
    <t>Tariff Page 4 - Transportation (T-3)</t>
  </si>
  <si>
    <t>Tariff Page 4 - Sales (G-2)</t>
  </si>
  <si>
    <t>Previous Filing - A.1 column (b)</t>
  </si>
  <si>
    <t>Previous Filing - A.2 column (b)</t>
  </si>
  <si>
    <t>Tariff Page 6 - Firm Service (T-4) Gross Margin</t>
  </si>
  <si>
    <t>Rates - column (c)</t>
  </si>
  <si>
    <t xml:space="preserve">Pipeline Tariffs - Texas Gas Transmission (TGT) </t>
  </si>
  <si>
    <t>Pipeline Tariffs - Tennessee Gas Pipeline (TGP)</t>
  </si>
  <si>
    <t>Gas Supply Plan - Texas Gas Area</t>
  </si>
  <si>
    <t>Pipeline Tariffs - Texas Gas Transmission (TGT)/ Tennessee Gas Pipeline (TGP)</t>
  </si>
  <si>
    <t xml:space="preserve"> injections = (negative) / withdrawals = positive</t>
  </si>
  <si>
    <t xml:space="preserve">AES Storage Position </t>
  </si>
  <si>
    <t>Volumes - column (d)</t>
  </si>
  <si>
    <t>Rates &amp; Percentages - column(s) (b) &amp; (c)</t>
  </si>
  <si>
    <t>Gas Supply Plan - Tennessee Gas Area</t>
  </si>
  <si>
    <t>Exhibit C Page 1 - Change Spot Price Here</t>
  </si>
  <si>
    <t>Exhibit A Page 1 - column (b) Line 16</t>
  </si>
  <si>
    <t>Exhibit A Page 1 - column (b) Line 38</t>
  </si>
  <si>
    <t>Exhibit A - column (a)</t>
  </si>
  <si>
    <t>Exhibit A, page 1, Line 12, column (b)</t>
  </si>
  <si>
    <t>Exhibit A, page 1, Line 12, column (a)</t>
  </si>
  <si>
    <t>Exhibit A, page 1, Line 34, column (b)</t>
  </si>
  <si>
    <t>Exhibit A, page 1, Line 34, column (a)</t>
  </si>
  <si>
    <t>Exhibit A, page 1, Line 13 , column (b)</t>
  </si>
  <si>
    <t>Prior Dates - (item 2)</t>
  </si>
  <si>
    <t>Prior G-2 EGC Rates - (item 2 continue on page 4)</t>
  </si>
  <si>
    <t>Dates - (item 2)</t>
  </si>
  <si>
    <t>G-2 EGC Rates - (item 2 continue on page 4)</t>
  </si>
  <si>
    <t>Prior Date - [item 2]</t>
  </si>
  <si>
    <t>Prior G-1 EGC Rates - (item 2)</t>
  </si>
  <si>
    <t>G-1 EGC Rates - (item 2)</t>
  </si>
  <si>
    <t>Correction factor - (item 3)</t>
  </si>
  <si>
    <t>Date - (Item 3)</t>
  </si>
  <si>
    <t>Refund Factor - (item 4)</t>
  </si>
  <si>
    <t>Date - (item 4)</t>
  </si>
  <si>
    <t>Production Month  (last paragraph) / GL Month (last paragraph)</t>
  </si>
  <si>
    <t>AES Storage Position</t>
  </si>
  <si>
    <t>Pipeline Tariffs - Trunkline Gas Company</t>
  </si>
  <si>
    <t>Rates &amp; Percentages column(s) (b) &amp;  (c)</t>
  </si>
  <si>
    <t>Volumes - column (b) Line(s) 5, 13, 15, 20, and 23</t>
  </si>
  <si>
    <t>$'s - column (d)</t>
  </si>
  <si>
    <t>Local Production - column (b) Line 23</t>
  </si>
  <si>
    <t>Mcf Volumes - column (a)</t>
  </si>
  <si>
    <t>Sales volumes - line 1</t>
  </si>
  <si>
    <t>2014-00413</t>
  </si>
  <si>
    <t>FOURTH</t>
  </si>
  <si>
    <t>Company Share of 11/13-10/14 PBR Activity</t>
  </si>
  <si>
    <t>Carry-over Amount in Case No. 2013-00544</t>
  </si>
  <si>
    <t>Total Zone 1 to 2</t>
  </si>
  <si>
    <t>Annual Units - column (b)/Total Texas Gas - column (b) line 49</t>
  </si>
  <si>
    <t>WP-B.1 - column (n) Line(s) 4, 9, 14, 19 ,24, 29, 34, 39, 44 &amp; 48</t>
  </si>
  <si>
    <t>Annual Units column (b)/Total Zone 0 to 2, Total Zone 1 to 2  and Total Storage</t>
  </si>
  <si>
    <t>WP-B.2 - column (o) Line(s) 2, 5, 8, 22, 23, 25, &amp; 26</t>
  </si>
  <si>
    <t>Volumes - column (d) Line(s) 1, 8, 16, 17, &amp; 25</t>
  </si>
  <si>
    <t>Exhibit B page 3 column (d) line 19, Exhibit B page 4 column (d) line 25, Exhibit B page 5 column (d) line 2, Exhibit C page 2 total WKG Storage Volumes, &amp; Gas Supply Plan -W.P B.8 Local Production</t>
  </si>
  <si>
    <t>Exhibit B page 3 column (f) line 20, Exhibit B page 4 column (f) line 25, &amp; Exhibit B page 5 column (f) line 7</t>
  </si>
  <si>
    <t>Purchased Volumes - column (a) line 24, column (b) line 24, &amp; column (c) line 24</t>
  </si>
  <si>
    <t>Purchased Cost(s) - column (a) line 27, column (b) line 27, &amp; column (c) line 27</t>
  </si>
  <si>
    <t>Exhibit E Work paper 1 Balance</t>
  </si>
  <si>
    <t>Tariff Page 6 - Interruptible Service (T-3) Gross Margin</t>
  </si>
  <si>
    <t>Rates &amp; Percentages - column(s) (b), Percentages, &amp;  (e), Rates)</t>
  </si>
  <si>
    <t>Date - Bottom Left-Hand Corner</t>
  </si>
  <si>
    <t>Exhibit D Page 1 - column (i) Line 8</t>
  </si>
  <si>
    <t>2014-00478</t>
  </si>
  <si>
    <t>2015-00000</t>
  </si>
  <si>
    <t>FIFTH</t>
  </si>
  <si>
    <r>
      <t>Current Effective</t>
    </r>
    <r>
      <rPr>
        <u/>
        <sz val="10"/>
        <rFont val="Arial"/>
        <family val="2"/>
      </rPr>
      <t xml:space="preserve"> Valid from Date</t>
    </r>
  </si>
  <si>
    <r>
      <t>Current Effective</t>
    </r>
    <r>
      <rPr>
        <u/>
        <sz val="10"/>
        <rFont val="Arial"/>
        <family val="2"/>
      </rPr>
      <t xml:space="preserve"> Valid to Date</t>
    </r>
  </si>
  <si>
    <r>
      <t>New Effective</t>
    </r>
    <r>
      <rPr>
        <u/>
        <sz val="10"/>
        <rFont val="Arial"/>
        <family val="2"/>
      </rPr>
      <t xml:space="preserve">       Valid from Date</t>
    </r>
  </si>
  <si>
    <t>SIXTH</t>
  </si>
  <si>
    <t>2015-00070</t>
  </si>
  <si>
    <t>SEVENTH</t>
  </si>
  <si>
    <t>2015-00103</t>
  </si>
  <si>
    <t>Net Uncollectible Gas Cost through November 2014 (c)</t>
  </si>
  <si>
    <r>
      <t>Date on Letter - (</t>
    </r>
    <r>
      <rPr>
        <sz val="11"/>
        <color rgb="FF0000FF"/>
        <rFont val="Calibri"/>
        <family val="2"/>
        <scheme val="minor"/>
      </rPr>
      <t>June 30, 2015</t>
    </r>
    <r>
      <rPr>
        <sz val="11"/>
        <color theme="1"/>
        <rFont val="Calibri"/>
        <family val="2"/>
        <scheme val="minor"/>
      </rPr>
      <t>)</t>
    </r>
  </si>
  <si>
    <r>
      <t xml:space="preserve">Tariff Revision Numbers - </t>
    </r>
    <r>
      <rPr>
        <sz val="11"/>
        <color rgb="FF0000FF"/>
        <rFont val="Calibri"/>
        <family val="2"/>
        <scheme val="minor"/>
      </rPr>
      <t xml:space="preserve">Seventh </t>
    </r>
    <r>
      <rPr>
        <sz val="11"/>
        <color theme="1"/>
        <rFont val="Calibri"/>
        <family val="2"/>
        <scheme val="minor"/>
      </rPr>
      <t>(paragraph 2)</t>
    </r>
  </si>
  <si>
    <r>
      <t xml:space="preserve">Tariff Pages 4-6 </t>
    </r>
    <r>
      <rPr>
        <sz val="11"/>
        <color rgb="FF0000FF"/>
        <rFont val="Calibri"/>
        <family val="2"/>
        <scheme val="minor"/>
      </rPr>
      <t>Seventh</t>
    </r>
    <r>
      <rPr>
        <sz val="11"/>
        <color theme="1"/>
        <rFont val="Calibri"/>
        <family val="2"/>
        <scheme val="minor"/>
      </rPr>
      <t xml:space="preserve"> REVISED</t>
    </r>
  </si>
  <si>
    <r>
      <t>Checklist: last day of production month:</t>
    </r>
    <r>
      <rPr>
        <sz val="11"/>
        <color rgb="FF0000FF"/>
        <rFont val="Calibri"/>
        <family val="2"/>
        <scheme val="minor"/>
      </rPr>
      <t xml:space="preserve"> April 30, 2015</t>
    </r>
    <r>
      <rPr>
        <sz val="11"/>
        <color theme="1"/>
        <rFont val="Calibri"/>
        <family val="2"/>
        <scheme val="minor"/>
      </rPr>
      <t xml:space="preserve"> /</t>
    </r>
    <r>
      <rPr>
        <sz val="11"/>
        <color rgb="FF0000FF"/>
        <rFont val="Calibri"/>
        <family val="2"/>
        <scheme val="minor"/>
      </rPr>
      <t xml:space="preserve"> May 2015</t>
    </r>
  </si>
  <si>
    <r>
      <t xml:space="preserve">Tariff Pages 5-6 </t>
    </r>
    <r>
      <rPr>
        <sz val="11"/>
        <color rgb="FF0000FF"/>
        <rFont val="Calibri"/>
        <family val="2"/>
        <scheme val="minor"/>
      </rPr>
      <t>Seventh</t>
    </r>
    <r>
      <rPr>
        <sz val="11"/>
        <color theme="1"/>
        <rFont val="Calibri"/>
        <family val="2"/>
        <scheme val="minor"/>
      </rPr>
      <t xml:space="preserve"> REVISED</t>
    </r>
  </si>
  <si>
    <r>
      <t xml:space="preserve">Tariff Revision Table - </t>
    </r>
    <r>
      <rPr>
        <sz val="11"/>
        <color rgb="FF0000FF"/>
        <rFont val="Calibri"/>
        <family val="2"/>
        <scheme val="minor"/>
      </rPr>
      <t>Seventh</t>
    </r>
    <r>
      <rPr>
        <sz val="11"/>
        <color theme="1"/>
        <rFont val="Calibri"/>
        <family val="2"/>
        <scheme val="minor"/>
      </rPr>
      <t xml:space="preserve"> REVISED</t>
    </r>
  </si>
  <si>
    <t>Exhibit B page 6 - G-1 Sales Volume - column (a) line 19 (+) G-2 Sales Volume - column (a) line 23</t>
  </si>
  <si>
    <t>EIGHTH</t>
  </si>
  <si>
    <t>For the Quarter ending  January 31, 2016</t>
  </si>
  <si>
    <t>2015-00220</t>
  </si>
  <si>
    <t>Case No. 2015-00000</t>
  </si>
  <si>
    <t>Carryover from Case No. 2015-00000</t>
  </si>
  <si>
    <t>We hereby certify that the refund directed to be made by Order in Case No. 2015-00000 has been completed</t>
  </si>
  <si>
    <t>Added For Case</t>
  </si>
</sst>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0;[Red]#,##0"/>
    <numFmt numFmtId="165" formatCode="#,##0.0000_);\(#,##0.0000\)"/>
    <numFmt numFmtId="166" formatCode="&quot;$&quot;#,##0.0000_);\(&quot;$&quot;#,##0.0000\)"/>
    <numFmt numFmtId="167" formatCode="0.0%"/>
    <numFmt numFmtId="168" formatCode="mmmm\ d\,\ yyyy"/>
    <numFmt numFmtId="169" formatCode="#,##0.0000;[Red]#,##0.0000"/>
    <numFmt numFmtId="170" formatCode="0.00_);[Red]\(0.00\)"/>
    <numFmt numFmtId="171" formatCode="0.0000_);[Red]\(0.0000\)"/>
    <numFmt numFmtId="172" formatCode="#,##0.00;[Red]#,##0.00"/>
    <numFmt numFmtId="173" formatCode="0.0000_);\(0.0000\)"/>
    <numFmt numFmtId="174" formatCode="[$-409]mmm\-yy;@"/>
    <numFmt numFmtId="175" formatCode="0.0000"/>
    <numFmt numFmtId="176" formatCode=";;;"/>
    <numFmt numFmtId="177" formatCode="0.0000_)"/>
    <numFmt numFmtId="178" formatCode="_(&quot;$&quot;* #,##0.0000_);_(&quot;$&quot;* \(#,##0.0000\);_(&quot;$&quot;* &quot;-&quot;??_);_(@_)"/>
    <numFmt numFmtId="179" formatCode="0_)"/>
    <numFmt numFmtId="180" formatCode="_(* #,##0.0000_);_(* \(#,##0.0000\);_(* &quot;-&quot;??_);_(@_)"/>
    <numFmt numFmtId="181" formatCode="_(* #,##0_);_(* \(#,##0\);_(* &quot;-&quot;??_);_(@_)"/>
    <numFmt numFmtId="182" formatCode="mm/dd/yy_)"/>
    <numFmt numFmtId="183" formatCode="#,##0.0000_);[Red]\(#,##0.0000\)"/>
    <numFmt numFmtId="184" formatCode="_(&quot;$&quot;* #,##0.000_);_(&quot;$&quot;* \(#,##0.000\);_(&quot;$&quot;* &quot;-&quot;??_);_(@_)"/>
    <numFmt numFmtId="185" formatCode="_(&quot;$&quot;* #,##0_);_(&quot;$&quot;* \(#,##0\);_(&quot;$&quot;* &quot;-&quot;??_);_(@_)"/>
    <numFmt numFmtId="186" formatCode="[$-409]mmmm\-yy;@"/>
    <numFmt numFmtId="187" formatCode="#,##0.000_);[Red]\(#,##0.000\)"/>
    <numFmt numFmtId="188" formatCode="[$-409]d\-mmm;@"/>
    <numFmt numFmtId="189" formatCode="&quot;$&quot;#,##0.000_);\(&quot;$&quot;#,##0.000\)"/>
    <numFmt numFmtId="190" formatCode="#,##0.000_);\(#,##0.000\)"/>
    <numFmt numFmtId="191" formatCode="mm/dd/yy;@"/>
    <numFmt numFmtId="192" formatCode="0.000"/>
    <numFmt numFmtId="193" formatCode="mmm\-yy_)"/>
    <numFmt numFmtId="194" formatCode="&quot;For the Three Months Ended &quot;mmmm\ yyyy"/>
    <numFmt numFmtId="195" formatCode="#,##0.0000000000_);\(#,##0.0000000000\)"/>
    <numFmt numFmtId="196" formatCode="_(* #,##0.0_);_(* \(#,##0.0\);_(* &quot;-&quot;??_);_(@_)"/>
    <numFmt numFmtId="197" formatCode="#,##0.0_);\(#,##0.0\)"/>
    <numFmt numFmtId="198" formatCode="&quot;$&quot;#,##0.000000_);\(&quot;$&quot;#,##0.000000\)"/>
    <numFmt numFmtId="199" formatCode="[$-F800]dddd\,\ mmmm\ dd\,\ yyyy"/>
    <numFmt numFmtId="200" formatCode="_(* #,##0.000_);_(* \(#,##0.000\);_(* &quot;-&quot;??_);_(@_)"/>
    <numFmt numFmtId="201" formatCode="[$-409]mmmm\ d\,\ yyyy;@"/>
    <numFmt numFmtId="202" formatCode="_(* #,##0.00000_);_(* \(#,##0.00000\);_(* &quot;-&quot;??_);_(@_)"/>
    <numFmt numFmtId="203" formatCode="[$-409]d\-mmm\-yyyy;@"/>
    <numFmt numFmtId="204" formatCode="_(* #,##0.000000_);_(* \(#,##0.000000\);_(* &quot;-&quot;??_);_(@_)"/>
    <numFmt numFmtId="205" formatCode="&quot;$&quot;#,##0.0000"/>
    <numFmt numFmtId="206" formatCode="###,000"/>
    <numFmt numFmtId="207" formatCode="0.00000"/>
    <numFmt numFmtId="208" formatCode="m/d/yyyy;@"/>
    <numFmt numFmtId="209" formatCode="[$-409]d\-mmm\-yy;@"/>
    <numFmt numFmtId="210" formatCode="0.000%"/>
  </numFmts>
  <fonts count="132">
    <font>
      <sz val="11"/>
      <color theme="1"/>
      <name val="Calibri"/>
      <family val="2"/>
      <scheme val="minor"/>
    </font>
    <font>
      <sz val="10"/>
      <name val="Arial"/>
      <family val="2"/>
    </font>
    <font>
      <sz val="12"/>
      <name val="Arial"/>
      <family val="2"/>
    </font>
    <font>
      <sz val="10"/>
      <name val="Arial"/>
      <family val="2"/>
    </font>
    <font>
      <b/>
      <sz val="11"/>
      <color indexed="12"/>
      <name val="Arial"/>
      <family val="2"/>
    </font>
    <font>
      <sz val="10"/>
      <name val="SWISS"/>
    </font>
    <font>
      <sz val="10"/>
      <color indexed="10"/>
      <name val="Arial"/>
      <family val="2"/>
    </font>
    <font>
      <b/>
      <sz val="10"/>
      <name val="Arial"/>
      <family val="2"/>
    </font>
    <font>
      <b/>
      <u/>
      <sz val="10"/>
      <name val="Arial"/>
      <family val="2"/>
    </font>
    <font>
      <u/>
      <sz val="10"/>
      <name val="Arial"/>
      <family val="2"/>
    </font>
    <font>
      <sz val="8"/>
      <name val="Arial"/>
      <family val="2"/>
    </font>
    <font>
      <vertAlign val="superscript"/>
      <sz val="10"/>
      <name val="Arial"/>
      <family val="2"/>
    </font>
    <font>
      <u/>
      <vertAlign val="superscript"/>
      <sz val="10"/>
      <name val="Arial"/>
      <family val="2"/>
    </font>
    <font>
      <b/>
      <sz val="12"/>
      <name val="Arial"/>
      <family val="2"/>
    </font>
    <font>
      <b/>
      <sz val="10"/>
      <color indexed="10"/>
      <name val="Arial"/>
      <family val="2"/>
    </font>
    <font>
      <b/>
      <u/>
      <vertAlign val="superscript"/>
      <sz val="10"/>
      <name val="Arial"/>
      <family val="2"/>
    </font>
    <font>
      <sz val="10"/>
      <color indexed="12"/>
      <name val="Arial"/>
      <family val="2"/>
    </font>
    <font>
      <sz val="11"/>
      <name val="Arial"/>
      <family val="2"/>
    </font>
    <font>
      <sz val="11"/>
      <color indexed="8"/>
      <name val="Arial"/>
      <family val="2"/>
    </font>
    <font>
      <sz val="11"/>
      <color indexed="18"/>
      <name val="Arial"/>
      <family val="2"/>
    </font>
    <font>
      <sz val="11"/>
      <color indexed="10"/>
      <name val="Arial"/>
      <family val="2"/>
    </font>
    <font>
      <b/>
      <u/>
      <sz val="11"/>
      <color indexed="8"/>
      <name val="Arial"/>
      <family val="2"/>
    </font>
    <font>
      <b/>
      <sz val="11"/>
      <color indexed="8"/>
      <name val="Arial"/>
      <family val="2"/>
    </font>
    <font>
      <sz val="11"/>
      <color indexed="12"/>
      <name val="Arial"/>
      <family val="2"/>
    </font>
    <font>
      <sz val="8"/>
      <color indexed="81"/>
      <name val="Tahoma"/>
      <family val="2"/>
    </font>
    <font>
      <u val="singleAccounting"/>
      <sz val="11"/>
      <color indexed="8"/>
      <name val="Arial"/>
      <family val="2"/>
    </font>
    <font>
      <u/>
      <sz val="11"/>
      <color indexed="8"/>
      <name val="Arial"/>
      <family val="2"/>
    </font>
    <font>
      <b/>
      <sz val="11"/>
      <color indexed="10"/>
      <name val="Arial"/>
      <family val="2"/>
    </font>
    <font>
      <sz val="11"/>
      <color indexed="14"/>
      <name val="Arial"/>
      <family val="2"/>
    </font>
    <font>
      <b/>
      <sz val="8"/>
      <color indexed="81"/>
      <name val="Tahoma"/>
      <family val="2"/>
    </font>
    <font>
      <b/>
      <sz val="8"/>
      <color indexed="10"/>
      <name val="Tahoma"/>
      <family val="2"/>
    </font>
    <font>
      <sz val="11"/>
      <color indexed="56"/>
      <name val="Arial"/>
      <family val="2"/>
    </font>
    <font>
      <u val="singleAccounting"/>
      <sz val="10"/>
      <name val="Arial"/>
      <family val="2"/>
    </font>
    <font>
      <sz val="10"/>
      <color indexed="8"/>
      <name val="Arial"/>
      <family val="2"/>
    </font>
    <font>
      <u val="singleAccounting"/>
      <sz val="10"/>
      <color indexed="8"/>
      <name val="Arial"/>
      <family val="2"/>
    </font>
    <font>
      <u val="singleAccounting"/>
      <sz val="10"/>
      <color indexed="12"/>
      <name val="Arial"/>
      <family val="2"/>
    </font>
    <font>
      <sz val="10"/>
      <name val="Times New Roman"/>
      <family val="1"/>
    </font>
    <font>
      <sz val="12"/>
      <color indexed="12"/>
      <name val="Times New Roman"/>
      <family val="1"/>
    </font>
    <font>
      <sz val="12"/>
      <name val="Times New Roman"/>
      <family val="1"/>
    </font>
    <font>
      <b/>
      <sz val="12"/>
      <color indexed="10"/>
      <name val="Times New Roman"/>
      <family val="1"/>
    </font>
    <font>
      <b/>
      <sz val="22"/>
      <color indexed="10"/>
      <name val="Times New Roman"/>
      <family val="1"/>
    </font>
    <font>
      <sz val="10"/>
      <color indexed="8"/>
      <name val="Times New Roman"/>
      <family val="1"/>
    </font>
    <font>
      <b/>
      <u/>
      <sz val="12"/>
      <color indexed="12"/>
      <name val="Times New Roman"/>
      <family val="1"/>
    </font>
    <font>
      <sz val="12"/>
      <color indexed="8"/>
      <name val="Times New Roman"/>
      <family val="1"/>
    </font>
    <font>
      <sz val="12"/>
      <color theme="0"/>
      <name val="Times New Roman"/>
      <family val="1"/>
    </font>
    <font>
      <sz val="10"/>
      <color theme="0"/>
      <name val="Times New Roman"/>
      <family val="1"/>
    </font>
    <font>
      <sz val="10"/>
      <color indexed="10"/>
      <name val="Courier"/>
      <family val="3"/>
    </font>
    <font>
      <sz val="12"/>
      <color indexed="10"/>
      <name val="Times New Roman"/>
      <family val="1"/>
    </font>
    <font>
      <b/>
      <sz val="12"/>
      <color indexed="8"/>
      <name val="Times New Roman"/>
      <family val="1"/>
    </font>
    <font>
      <u/>
      <sz val="10"/>
      <color indexed="12"/>
      <name val="Arial"/>
      <family val="2"/>
    </font>
    <font>
      <sz val="12"/>
      <name val="Arial MT"/>
    </font>
    <font>
      <b/>
      <sz val="11"/>
      <name val="Arial"/>
      <family val="2"/>
    </font>
    <font>
      <u/>
      <sz val="11"/>
      <name val="Arial"/>
      <family val="2"/>
    </font>
    <font>
      <u val="double"/>
      <sz val="11"/>
      <name val="Arial"/>
      <family val="2"/>
    </font>
    <font>
      <sz val="11"/>
      <color indexed="81"/>
      <name val="Arial"/>
      <family val="2"/>
    </font>
    <font>
      <vertAlign val="superscript"/>
      <sz val="11"/>
      <name val="Arial"/>
      <family val="2"/>
    </font>
    <font>
      <sz val="12"/>
      <color indexed="81"/>
      <name val="Tahoma"/>
      <family val="2"/>
    </font>
    <font>
      <sz val="12"/>
      <color indexed="81"/>
      <name val="Arial"/>
      <family val="2"/>
    </font>
    <font>
      <b/>
      <sz val="10"/>
      <color indexed="8"/>
      <name val="Arial"/>
      <family val="2"/>
    </font>
    <font>
      <sz val="12"/>
      <color indexed="9"/>
      <name val="Times New Roman"/>
      <family val="1"/>
    </font>
    <font>
      <b/>
      <sz val="12"/>
      <name val="Times New Roman"/>
      <family val="1"/>
    </font>
    <font>
      <sz val="10"/>
      <name val="Arial Unicode MS"/>
      <family val="2"/>
    </font>
    <font>
      <b/>
      <sz val="11"/>
      <color indexed="18"/>
      <name val="Arial"/>
      <family val="2"/>
    </font>
    <font>
      <u/>
      <sz val="8.6999999999999993"/>
      <color indexed="12"/>
      <name val="SWISS"/>
    </font>
    <font>
      <b/>
      <sz val="11"/>
      <name val="Calibri"/>
      <family val="2"/>
      <scheme val="minor"/>
    </font>
    <font>
      <sz val="11"/>
      <name val="Calibri"/>
      <family val="2"/>
      <scheme val="minor"/>
    </font>
    <font>
      <b/>
      <sz val="11"/>
      <color rgb="FFFF0000"/>
      <name val="Calibri"/>
      <family val="2"/>
      <scheme val="minor"/>
    </font>
    <font>
      <sz val="11"/>
      <color theme="1"/>
      <name val="Calibri"/>
      <family val="2"/>
      <scheme val="minor"/>
    </font>
    <font>
      <sz val="10"/>
      <name val="Arial"/>
      <family val="2"/>
    </font>
    <font>
      <b/>
      <sz val="11"/>
      <color rgb="FFFF0000"/>
      <name val="Arial"/>
      <family val="2"/>
    </font>
    <font>
      <b/>
      <sz val="14"/>
      <name val="Calibri"/>
      <family val="2"/>
      <scheme val="minor"/>
    </font>
    <font>
      <sz val="10"/>
      <name val="Arial"/>
      <family val="2"/>
    </font>
    <font>
      <sz val="10"/>
      <name val="Arial"/>
      <family val="2"/>
    </font>
    <font>
      <b/>
      <sz val="10"/>
      <name val="Times New Roman"/>
      <family val="1"/>
    </font>
    <font>
      <b/>
      <sz val="11"/>
      <color theme="1"/>
      <name val="Calibri"/>
      <family val="2"/>
      <scheme val="minor"/>
    </font>
    <font>
      <b/>
      <sz val="11"/>
      <color theme="3" tint="-0.249977111117893"/>
      <name val="Calibri"/>
      <family val="2"/>
      <scheme val="minor"/>
    </font>
    <font>
      <b/>
      <sz val="11"/>
      <color theme="3" tint="-0.249977111117893"/>
      <name val="Wingdings 2"/>
      <family val="1"/>
      <charset val="2"/>
    </font>
    <font>
      <b/>
      <sz val="11"/>
      <color theme="3" tint="-0.249977111117893"/>
      <name val="Arial"/>
      <family val="2"/>
    </font>
    <font>
      <b/>
      <sz val="10"/>
      <color theme="3" tint="-0.249977111117893"/>
      <name val="Arial"/>
      <family val="2"/>
    </font>
    <font>
      <sz val="11"/>
      <color theme="3" tint="-0.249977111117893"/>
      <name val="Calibri"/>
      <family val="2"/>
      <scheme val="minor"/>
    </font>
    <font>
      <sz val="10"/>
      <color theme="1"/>
      <name val="Times New Roman"/>
      <family val="1"/>
    </font>
    <font>
      <u/>
      <sz val="10"/>
      <color theme="1"/>
      <name val="Times New Roman"/>
      <family val="1"/>
    </font>
    <font>
      <sz val="7"/>
      <color theme="1"/>
      <name val="Times New Roman"/>
      <family val="1"/>
    </font>
    <font>
      <sz val="9"/>
      <color theme="1"/>
      <name val="Times New Roman"/>
      <family val="1"/>
    </font>
    <font>
      <sz val="9"/>
      <name val="Times New Roman"/>
      <family val="1"/>
    </font>
    <font>
      <sz val="8"/>
      <name val="Times New Roman"/>
      <family val="1"/>
    </font>
    <font>
      <b/>
      <u/>
      <sz val="10"/>
      <name val="Times New Roman"/>
      <family val="1"/>
    </font>
    <font>
      <sz val="9"/>
      <name val="Arial"/>
      <family val="2"/>
    </font>
    <font>
      <sz val="10"/>
      <name val="Arial"/>
      <family val="2"/>
    </font>
    <font>
      <sz val="18"/>
      <color theme="1"/>
      <name val="Arial"/>
      <family val="2"/>
    </font>
    <font>
      <sz val="18"/>
      <name val="Arial"/>
      <family val="2"/>
    </font>
    <font>
      <sz val="14"/>
      <color theme="1"/>
      <name val="Arial"/>
      <family val="2"/>
    </font>
    <font>
      <sz val="14"/>
      <name val="Arial"/>
      <family val="2"/>
    </font>
    <font>
      <b/>
      <sz val="14"/>
      <name val="Arial"/>
      <family val="2"/>
    </font>
    <font>
      <sz val="12"/>
      <color theme="1"/>
      <name val="Arial"/>
      <family val="2"/>
    </font>
    <font>
      <sz val="12"/>
      <color rgb="FFFF0000"/>
      <name val="Arial"/>
      <family val="2"/>
    </font>
    <font>
      <sz val="12"/>
      <color indexed="12"/>
      <name val="Arial"/>
      <family val="2"/>
    </font>
    <font>
      <b/>
      <sz val="14"/>
      <color theme="1"/>
      <name val="Arial"/>
      <family val="2"/>
    </font>
    <font>
      <b/>
      <sz val="12"/>
      <color theme="1"/>
      <name val="Arial"/>
      <family val="2"/>
    </font>
    <font>
      <b/>
      <sz val="12"/>
      <color rgb="FFFF0000"/>
      <name val="Arial"/>
      <family val="2"/>
    </font>
    <font>
      <b/>
      <sz val="12"/>
      <color indexed="12"/>
      <name val="Arial"/>
      <family val="2"/>
    </font>
    <font>
      <sz val="12"/>
      <color rgb="FF0000FF"/>
      <name val="Arial"/>
      <family val="2"/>
    </font>
    <font>
      <b/>
      <sz val="12"/>
      <color rgb="FF0000FF"/>
      <name val="Arial"/>
      <family val="2"/>
    </font>
    <font>
      <sz val="10"/>
      <color rgb="FF0000FF"/>
      <name val="Arial"/>
      <family val="2"/>
    </font>
    <font>
      <sz val="12"/>
      <color rgb="FF0000FF"/>
      <name val="Times New Roman"/>
      <family val="1"/>
    </font>
    <font>
      <sz val="10"/>
      <color rgb="FF0000FF"/>
      <name val="SWISS"/>
    </font>
    <font>
      <sz val="11"/>
      <color rgb="FF0000FF"/>
      <name val="Arial"/>
      <family val="2"/>
    </font>
    <font>
      <sz val="12"/>
      <color rgb="FF0000FF"/>
      <name val="Arial MT"/>
    </font>
    <font>
      <sz val="11"/>
      <color rgb="FF000000"/>
      <name val="Arial"/>
      <family val="2"/>
    </font>
    <font>
      <b/>
      <sz val="12"/>
      <color indexed="8"/>
      <name val="Arial"/>
      <family val="2"/>
    </font>
    <font>
      <sz val="12"/>
      <color indexed="8"/>
      <name val="Arial"/>
      <family val="2"/>
    </font>
    <font>
      <b/>
      <sz val="11"/>
      <color indexed="81"/>
      <name val="Arial"/>
      <family val="2"/>
    </font>
    <font>
      <b/>
      <u/>
      <sz val="10"/>
      <color indexed="56"/>
      <name val="Arial"/>
      <family val="2"/>
    </font>
    <font>
      <sz val="10"/>
      <color theme="1"/>
      <name val="Arial"/>
      <family val="2"/>
    </font>
    <font>
      <u/>
      <sz val="11"/>
      <color theme="10"/>
      <name val="Calibri"/>
      <family val="2"/>
      <scheme val="minor"/>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4"/>
      <color rgb="FF0000FF"/>
      <name val="Arial"/>
      <family val="2"/>
    </font>
    <font>
      <b/>
      <sz val="14"/>
      <color rgb="FF0000FF"/>
      <name val="Arial"/>
      <family val="2"/>
    </font>
    <font>
      <b/>
      <i/>
      <sz val="10"/>
      <name val="Arial"/>
      <family val="2"/>
    </font>
    <font>
      <b/>
      <u/>
      <sz val="8"/>
      <color indexed="81"/>
      <name val="Tahoma"/>
      <family val="2"/>
    </font>
    <font>
      <sz val="11"/>
      <color rgb="FF0000FF"/>
      <name val="Calibri"/>
      <family val="2"/>
      <scheme val="minor"/>
    </font>
    <font>
      <vertAlign val="superscript"/>
      <sz val="11"/>
      <color theme="1"/>
      <name val="Calibri"/>
      <family val="2"/>
      <scheme val="minor"/>
    </font>
    <font>
      <sz val="9"/>
      <color indexed="81"/>
      <name val="Tahoma"/>
      <family val="2"/>
    </font>
    <font>
      <b/>
      <sz val="9"/>
      <color indexed="81"/>
      <name val="Tahoma"/>
      <family val="2"/>
    </font>
  </fonts>
  <fills count="28">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theme="0" tint="-0.499984740745262"/>
        <bgColor indexed="64"/>
      </patternFill>
    </fill>
    <fill>
      <patternFill patternType="solid">
        <fgColor theme="6" tint="0.39997558519241921"/>
        <bgColor indexed="64"/>
      </patternFill>
    </fill>
    <fill>
      <patternFill patternType="solid">
        <fgColor rgb="FF92D050"/>
        <bgColor indexed="64"/>
      </patternFill>
    </fill>
    <fill>
      <patternFill patternType="solid">
        <fgColor rgb="FFFFFF00"/>
        <bgColor indexed="64"/>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rgb="FFFFFF99"/>
        <bgColor indexed="64"/>
      </patternFill>
    </fill>
  </fills>
  <borders count="46">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bottom style="double">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bottom style="thin">
        <color indexed="8"/>
      </bottom>
      <diagonal/>
    </border>
    <border>
      <left/>
      <right/>
      <top/>
      <bottom style="medium">
        <color indexed="8"/>
      </bottom>
      <diagonal/>
    </border>
    <border>
      <left/>
      <right/>
      <top style="thin">
        <color indexed="8"/>
      </top>
      <bottom/>
      <diagonal/>
    </border>
    <border>
      <left/>
      <right/>
      <top/>
      <bottom style="double">
        <color indexed="8"/>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thin">
        <color indexed="64"/>
      </left>
      <right style="medium">
        <color indexed="64"/>
      </right>
      <top style="medium">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82">
    <xf numFmtId="0" fontId="0" fillId="0" borderId="0"/>
    <xf numFmtId="0" fontId="1" fillId="0" borderId="0"/>
    <xf numFmtId="43" fontId="3" fillId="0" borderId="0" applyFont="0" applyFill="0" applyBorder="0" applyAlignment="0" applyProtection="0"/>
    <xf numFmtId="0" fontId="4" fillId="0" borderId="0">
      <alignment horizontal="left" vertical="center" indent="1"/>
    </xf>
    <xf numFmtId="44" fontId="3" fillId="0" borderId="0" applyFont="0" applyFill="0" applyBorder="0" applyAlignment="0" applyProtection="0"/>
    <xf numFmtId="164" fontId="5" fillId="0" borderId="0"/>
    <xf numFmtId="9" fontId="3" fillId="0" borderId="0" applyFont="0" applyFill="0" applyBorder="0" applyAlignment="0" applyProtection="0"/>
    <xf numFmtId="0" fontId="3" fillId="0" borderId="0"/>
    <xf numFmtId="9" fontId="1" fillId="0" borderId="0" applyFont="0" applyFill="0" applyBorder="0" applyAlignment="0" applyProtection="0"/>
    <xf numFmtId="0" fontId="49" fillId="0" borderId="0" applyNumberFormat="0" applyFill="0" applyBorder="0" applyAlignment="0" applyProtection="0">
      <alignment vertical="top"/>
      <protection locked="0"/>
    </xf>
    <xf numFmtId="0" fontId="50" fillId="0" borderId="0"/>
    <xf numFmtId="44" fontId="2" fillId="0" borderId="0" applyFont="0" applyFill="0" applyBorder="0" applyAlignment="0" applyProtection="0"/>
    <xf numFmtId="43" fontId="2" fillId="0" borderId="0" applyFont="0" applyFill="0" applyBorder="0" applyAlignment="0" applyProtection="0"/>
    <xf numFmtId="0" fontId="3" fillId="0" borderId="0"/>
    <xf numFmtId="0" fontId="3" fillId="0" borderId="0"/>
    <xf numFmtId="0" fontId="3" fillId="0" borderId="0"/>
    <xf numFmtId="0" fontId="33" fillId="0" borderId="0"/>
    <xf numFmtId="164" fontId="5" fillId="0" borderId="0"/>
    <xf numFmtId="164" fontId="5" fillId="0" borderId="0"/>
    <xf numFmtId="0" fontId="63" fillId="0" borderId="0" applyNumberFormat="0" applyFill="0" applyBorder="0" applyAlignment="0" applyProtection="0">
      <alignment vertical="top"/>
      <protection locked="0"/>
    </xf>
    <xf numFmtId="43" fontId="67" fillId="0" borderId="0" applyFont="0" applyFill="0" applyBorder="0" applyAlignment="0" applyProtection="0"/>
    <xf numFmtId="0" fontId="68" fillId="0" borderId="0">
      <alignment vertical="center"/>
    </xf>
    <xf numFmtId="0" fontId="1" fillId="0" borderId="0">
      <alignment vertical="center"/>
    </xf>
    <xf numFmtId="43" fontId="1" fillId="0" borderId="0" applyFont="0" applyFill="0" applyBorder="0" applyAlignment="0" applyProtection="0">
      <alignment vertical="center"/>
    </xf>
    <xf numFmtId="0" fontId="1" fillId="0" borderId="0"/>
    <xf numFmtId="0" fontId="67"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49" fillId="0" borderId="0" applyNumberFormat="0" applyFill="0" applyBorder="0" applyAlignment="0" applyProtection="0">
      <alignment vertical="top"/>
      <protection locked="0"/>
    </xf>
    <xf numFmtId="43" fontId="67" fillId="0" borderId="0" applyFont="0" applyFill="0" applyBorder="0" applyAlignment="0" applyProtection="0"/>
    <xf numFmtId="0" fontId="1" fillId="0" borderId="0">
      <alignment vertical="center"/>
    </xf>
    <xf numFmtId="0" fontId="71" fillId="0" borderId="0"/>
    <xf numFmtId="44" fontId="71" fillId="0" borderId="0" applyFont="0" applyFill="0" applyBorder="0" applyAlignment="0" applyProtection="0"/>
    <xf numFmtId="43" fontId="71" fillId="0" borderId="0" applyFont="0" applyFill="0" applyBorder="0" applyAlignment="0" applyProtection="0"/>
    <xf numFmtId="0" fontId="72" fillId="0" borderId="0">
      <alignment vertical="center"/>
    </xf>
    <xf numFmtId="0" fontId="72" fillId="0" borderId="0"/>
    <xf numFmtId="164" fontId="4" fillId="0" borderId="0">
      <alignment horizontal="left" vertical="center" indent="1"/>
    </xf>
    <xf numFmtId="0" fontId="67" fillId="0" borderId="0"/>
    <xf numFmtId="0" fontId="4" fillId="0" borderId="0">
      <alignment horizontal="left" vertical="center" indent="1"/>
    </xf>
    <xf numFmtId="0" fontId="49" fillId="0" borderId="0" applyNumberFormat="0" applyFill="0" applyBorder="0" applyAlignment="0" applyProtection="0">
      <alignment vertical="top"/>
      <protection locked="0"/>
    </xf>
    <xf numFmtId="43" fontId="67"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alignment vertical="center"/>
    </xf>
    <xf numFmtId="9" fontId="67" fillId="0" borderId="0" applyFont="0" applyFill="0" applyBorder="0" applyAlignment="0" applyProtection="0"/>
    <xf numFmtId="0" fontId="88" fillId="0" borderId="0"/>
    <xf numFmtId="0" fontId="33" fillId="0" borderId="0"/>
    <xf numFmtId="0" fontId="114" fillId="0" borderId="0" applyNumberFormat="0" applyFill="0" applyBorder="0" applyAlignment="0" applyProtection="0"/>
    <xf numFmtId="0" fontId="115" fillId="0" borderId="36" applyNumberFormat="0" applyFont="0" applyFill="0" applyAlignment="0" applyProtection="0"/>
    <xf numFmtId="206" fontId="116" fillId="0" borderId="37" applyNumberFormat="0" applyProtection="0">
      <alignment horizontal="right" vertical="center"/>
    </xf>
    <xf numFmtId="206" fontId="117" fillId="0" borderId="38" applyNumberFormat="0" applyProtection="0">
      <alignment horizontal="right" vertical="center"/>
    </xf>
    <xf numFmtId="0" fontId="117" fillId="10" borderId="36" applyNumberFormat="0" applyAlignment="0" applyProtection="0">
      <alignment horizontal="left" vertical="center" indent="1"/>
    </xf>
    <xf numFmtId="0" fontId="118" fillId="11" borderId="38" applyNumberFormat="0" applyAlignment="0" applyProtection="0">
      <alignment horizontal="left" vertical="center" indent="1"/>
    </xf>
    <xf numFmtId="0" fontId="118" fillId="11" borderId="38" applyNumberFormat="0" applyAlignment="0" applyProtection="0">
      <alignment horizontal="left" vertical="center" indent="1"/>
    </xf>
    <xf numFmtId="0" fontId="119" fillId="0" borderId="39" applyNumberFormat="0" applyFill="0" applyBorder="0" applyAlignment="0" applyProtection="0"/>
    <xf numFmtId="206" fontId="120" fillId="12" borderId="40" applyNumberFormat="0" applyBorder="0" applyAlignment="0" applyProtection="0">
      <alignment horizontal="right" vertical="center" indent="1"/>
    </xf>
    <xf numFmtId="206" fontId="121" fillId="13" borderId="40" applyNumberFormat="0" applyBorder="0" applyAlignment="0" applyProtection="0">
      <alignment horizontal="right" vertical="center" indent="1"/>
    </xf>
    <xf numFmtId="206" fontId="121" fillId="14" borderId="40" applyNumberFormat="0" applyBorder="0" applyAlignment="0" applyProtection="0">
      <alignment horizontal="right" vertical="center" indent="1"/>
    </xf>
    <xf numFmtId="206" fontId="122" fillId="15" borderId="40" applyNumberFormat="0" applyBorder="0" applyAlignment="0" applyProtection="0">
      <alignment horizontal="right" vertical="center" indent="1"/>
    </xf>
    <xf numFmtId="206" fontId="122" fillId="16" borderId="40" applyNumberFormat="0" applyBorder="0" applyAlignment="0" applyProtection="0">
      <alignment horizontal="right" vertical="center" indent="1"/>
    </xf>
    <xf numFmtId="206" fontId="122" fillId="17" borderId="40" applyNumberFormat="0" applyBorder="0" applyAlignment="0" applyProtection="0">
      <alignment horizontal="right" vertical="center" indent="1"/>
    </xf>
    <xf numFmtId="206" fontId="123" fillId="18" borderId="40" applyNumberFormat="0" applyBorder="0" applyAlignment="0" applyProtection="0">
      <alignment horizontal="right" vertical="center" indent="1"/>
    </xf>
    <xf numFmtId="206" fontId="123" fillId="19" borderId="40" applyNumberFormat="0" applyBorder="0" applyAlignment="0" applyProtection="0">
      <alignment horizontal="right" vertical="center" indent="1"/>
    </xf>
    <xf numFmtId="206" fontId="123" fillId="20" borderId="40" applyNumberFormat="0" applyBorder="0" applyAlignment="0" applyProtection="0">
      <alignment horizontal="right" vertical="center" indent="1"/>
    </xf>
    <xf numFmtId="0" fontId="118" fillId="21" borderId="36" applyNumberFormat="0" applyAlignment="0" applyProtection="0">
      <alignment horizontal="left" vertical="center" indent="1"/>
    </xf>
    <xf numFmtId="0" fontId="118" fillId="22" borderId="36" applyNumberFormat="0" applyAlignment="0" applyProtection="0">
      <alignment horizontal="left" vertical="center" indent="1"/>
    </xf>
    <xf numFmtId="0" fontId="118" fillId="23" borderId="36" applyNumberFormat="0" applyAlignment="0" applyProtection="0">
      <alignment horizontal="left" vertical="center" indent="1"/>
    </xf>
    <xf numFmtId="0" fontId="118" fillId="24" borderId="36" applyNumberFormat="0" applyAlignment="0" applyProtection="0">
      <alignment horizontal="left" vertical="center" indent="1"/>
    </xf>
    <xf numFmtId="0" fontId="118" fillId="25" borderId="38" applyNumberFormat="0" applyAlignment="0" applyProtection="0">
      <alignment horizontal="left" vertical="center" indent="1"/>
    </xf>
    <xf numFmtId="206" fontId="116" fillId="24" borderId="37" applyNumberFormat="0" applyBorder="0" applyProtection="0">
      <alignment horizontal="right" vertical="center"/>
    </xf>
    <xf numFmtId="206" fontId="117" fillId="24" borderId="38" applyNumberFormat="0" applyBorder="0" applyProtection="0">
      <alignment horizontal="right" vertical="center"/>
    </xf>
    <xf numFmtId="206" fontId="116" fillId="26" borderId="36" applyNumberFormat="0" applyAlignment="0" applyProtection="0">
      <alignment horizontal="left" vertical="center" indent="1"/>
    </xf>
    <xf numFmtId="0" fontId="117" fillId="10" borderId="38" applyNumberFormat="0" applyAlignment="0" applyProtection="0">
      <alignment horizontal="left" vertical="center" indent="1"/>
    </xf>
    <xf numFmtId="0" fontId="118" fillId="25" borderId="38" applyNumberFormat="0" applyAlignment="0" applyProtection="0">
      <alignment horizontal="left" vertical="center" indent="1"/>
    </xf>
    <xf numFmtId="206" fontId="117" fillId="25" borderId="38" applyNumberFormat="0" applyProtection="0">
      <alignment horizontal="right" vertical="center"/>
    </xf>
    <xf numFmtId="0" fontId="33" fillId="0" borderId="0"/>
    <xf numFmtId="0" fontId="33" fillId="0" borderId="0"/>
    <xf numFmtId="0" fontId="1" fillId="0" borderId="0"/>
    <xf numFmtId="44" fontId="67" fillId="0" borderId="0" applyFont="0" applyFill="0" applyBorder="0" applyAlignment="0" applyProtection="0"/>
  </cellStyleXfs>
  <cellXfs count="1167">
    <xf numFmtId="0" fontId="0" fillId="0" borderId="0" xfId="0"/>
    <xf numFmtId="0" fontId="1" fillId="0" borderId="0" xfId="1"/>
    <xf numFmtId="0" fontId="1" fillId="0" borderId="0" xfId="1" applyFill="1"/>
    <xf numFmtId="0" fontId="1" fillId="0" borderId="0" xfId="1" applyAlignment="1">
      <alignment horizontal="center"/>
    </xf>
    <xf numFmtId="0" fontId="1" fillId="0" borderId="0" xfId="1" quotePrefix="1" applyAlignment="1">
      <alignment horizontal="center"/>
    </xf>
    <xf numFmtId="37" fontId="1" fillId="0" borderId="0" xfId="1" applyNumberFormat="1"/>
    <xf numFmtId="165" fontId="1" fillId="0" borderId="0" xfId="1" applyNumberFormat="1" applyFont="1" applyBorder="1"/>
    <xf numFmtId="166" fontId="1" fillId="0" borderId="0" xfId="1" applyNumberFormat="1"/>
    <xf numFmtId="165" fontId="1" fillId="0" borderId="1" xfId="1" applyNumberFormat="1" applyFill="1" applyBorder="1"/>
    <xf numFmtId="14" fontId="1" fillId="0" borderId="0" xfId="1" applyNumberFormat="1" applyFill="1"/>
    <xf numFmtId="0" fontId="1" fillId="0" borderId="0" xfId="1" applyFont="1" applyBorder="1"/>
    <xf numFmtId="0" fontId="1" fillId="0" borderId="0" xfId="1" applyFill="1" applyAlignment="1">
      <alignment horizontal="center"/>
    </xf>
    <xf numFmtId="0" fontId="7" fillId="0" borderId="0" xfId="1" applyFont="1" applyBorder="1"/>
    <xf numFmtId="0" fontId="8" fillId="0" borderId="0" xfId="1" applyFont="1"/>
    <xf numFmtId="165" fontId="1" fillId="0" borderId="0" xfId="1" applyNumberFormat="1"/>
    <xf numFmtId="0" fontId="1" fillId="0" borderId="0" xfId="1" applyAlignment="1">
      <alignment horizontal="left" indent="1"/>
    </xf>
    <xf numFmtId="0" fontId="9" fillId="0" borderId="0" xfId="1" applyFont="1" applyAlignment="1">
      <alignment horizontal="left"/>
    </xf>
    <xf numFmtId="165" fontId="1" fillId="0" borderId="1" xfId="1" applyNumberFormat="1" applyBorder="1"/>
    <xf numFmtId="165" fontId="3" fillId="0" borderId="1" xfId="1" applyNumberFormat="1" applyFont="1" applyFill="1" applyBorder="1"/>
    <xf numFmtId="0" fontId="1" fillId="0" borderId="0" xfId="1" applyAlignment="1">
      <alignment horizontal="left" indent="2"/>
    </xf>
    <xf numFmtId="165" fontId="1" fillId="0" borderId="0" xfId="1" applyNumberFormat="1" applyFill="1"/>
    <xf numFmtId="0" fontId="1" fillId="0" borderId="0" xfId="1" applyAlignment="1">
      <alignment horizontal="left" indent="3"/>
    </xf>
    <xf numFmtId="0" fontId="3" fillId="0" borderId="0" xfId="7"/>
    <xf numFmtId="0" fontId="9" fillId="0" borderId="0" xfId="1" applyFont="1"/>
    <xf numFmtId="0" fontId="8" fillId="0" borderId="0" xfId="1" applyFont="1" applyBorder="1"/>
    <xf numFmtId="165" fontId="1" fillId="0" borderId="1" xfId="1" applyNumberFormat="1" applyFont="1" applyBorder="1"/>
    <xf numFmtId="0" fontId="1" fillId="0" borderId="0" xfId="1" quotePrefix="1" applyFill="1" applyAlignment="1">
      <alignment horizontal="center"/>
    </xf>
    <xf numFmtId="0" fontId="7" fillId="0" borderId="1" xfId="1" applyFont="1" applyBorder="1"/>
    <xf numFmtId="49" fontId="7" fillId="0" borderId="1" xfId="1" quotePrefix="1" applyNumberFormat="1" applyFont="1" applyFill="1" applyBorder="1" applyAlignment="1">
      <alignment horizontal="center"/>
    </xf>
    <xf numFmtId="49" fontId="7" fillId="0" borderId="1" xfId="1" quotePrefix="1" applyNumberFormat="1" applyFont="1" applyFill="1" applyBorder="1"/>
    <xf numFmtId="0" fontId="7" fillId="0" borderId="1" xfId="1" applyFont="1" applyBorder="1" applyAlignment="1">
      <alignment horizontal="center"/>
    </xf>
    <xf numFmtId="0" fontId="7" fillId="0" borderId="0" xfId="1" applyFont="1"/>
    <xf numFmtId="0" fontId="7" fillId="0" borderId="0" xfId="1" applyFont="1" applyAlignment="1">
      <alignment horizontal="center"/>
    </xf>
    <xf numFmtId="0" fontId="1" fillId="0" borderId="0" xfId="1" applyAlignment="1">
      <alignment horizontal="right"/>
    </xf>
    <xf numFmtId="49" fontId="7" fillId="0" borderId="1" xfId="1" applyNumberFormat="1" applyFont="1" applyBorder="1"/>
    <xf numFmtId="0" fontId="7" fillId="0" borderId="1" xfId="1" applyNumberFormat="1" applyFont="1" applyBorder="1"/>
    <xf numFmtId="0" fontId="10" fillId="0" borderId="0" xfId="1" applyFont="1"/>
    <xf numFmtId="164" fontId="1" fillId="0" borderId="0" xfId="1" applyNumberFormat="1"/>
    <xf numFmtId="164" fontId="10" fillId="0" borderId="0" xfId="1" applyNumberFormat="1" applyFont="1"/>
    <xf numFmtId="164" fontId="3" fillId="0" borderId="0" xfId="1" applyNumberFormat="1" applyFont="1"/>
    <xf numFmtId="164" fontId="7" fillId="0" borderId="0" xfId="1" applyNumberFormat="1" applyFont="1"/>
    <xf numFmtId="164" fontId="1" fillId="0" borderId="2" xfId="1" applyNumberFormat="1" applyBorder="1"/>
    <xf numFmtId="164" fontId="1" fillId="0" borderId="1" xfId="1" applyNumberFormat="1" applyBorder="1"/>
    <xf numFmtId="164" fontId="1" fillId="0" borderId="3" xfId="1" applyNumberFormat="1" applyBorder="1"/>
    <xf numFmtId="164" fontId="1" fillId="0" borderId="4" xfId="1" applyNumberFormat="1" applyBorder="1"/>
    <xf numFmtId="164" fontId="1" fillId="0" borderId="0" xfId="1" applyNumberFormat="1" applyBorder="1"/>
    <xf numFmtId="164" fontId="1" fillId="0" borderId="5" xfId="1" applyNumberFormat="1" applyBorder="1"/>
    <xf numFmtId="164" fontId="10" fillId="0" borderId="0" xfId="1" quotePrefix="1" applyNumberFormat="1" applyFont="1"/>
    <xf numFmtId="164" fontId="11" fillId="0" borderId="0" xfId="1" applyNumberFormat="1" applyFont="1" applyBorder="1" applyAlignment="1">
      <alignment horizontal="right"/>
    </xf>
    <xf numFmtId="49" fontId="1" fillId="0" borderId="0" xfId="1" applyNumberFormat="1" applyBorder="1"/>
    <xf numFmtId="164" fontId="1" fillId="0" borderId="0" xfId="1" applyNumberFormat="1" applyBorder="1" applyAlignment="1">
      <alignment horizontal="right"/>
    </xf>
    <xf numFmtId="169" fontId="1" fillId="0" borderId="0" xfId="1" applyNumberFormat="1" applyBorder="1"/>
    <xf numFmtId="37" fontId="10" fillId="0" borderId="0" xfId="1" applyNumberFormat="1" applyFont="1"/>
    <xf numFmtId="37" fontId="1" fillId="0" borderId="0" xfId="1" applyNumberFormat="1" applyBorder="1"/>
    <xf numFmtId="49" fontId="11" fillId="0" borderId="0" xfId="1" applyNumberFormat="1" applyFont="1" applyBorder="1"/>
    <xf numFmtId="164" fontId="8" fillId="0" borderId="0" xfId="1" applyNumberFormat="1" applyFont="1" applyBorder="1"/>
    <xf numFmtId="39" fontId="1" fillId="0" borderId="0" xfId="1" applyNumberFormat="1" applyBorder="1"/>
    <xf numFmtId="7" fontId="1" fillId="0" borderId="0" xfId="1" applyNumberFormat="1" applyBorder="1"/>
    <xf numFmtId="170" fontId="1" fillId="0" borderId="0" xfId="1" applyNumberFormat="1" applyBorder="1"/>
    <xf numFmtId="37" fontId="10" fillId="0" borderId="0" xfId="1" quotePrefix="1" applyNumberFormat="1" applyFont="1"/>
    <xf numFmtId="0" fontId="1" fillId="0" borderId="4" xfId="1" applyBorder="1"/>
    <xf numFmtId="0" fontId="1" fillId="0" borderId="0" xfId="1" applyBorder="1"/>
    <xf numFmtId="171" fontId="1" fillId="0" borderId="0" xfId="1" applyNumberFormat="1" applyBorder="1"/>
    <xf numFmtId="165" fontId="1" fillId="0" borderId="0" xfId="1" applyNumberFormat="1" applyBorder="1"/>
    <xf numFmtId="164" fontId="1" fillId="0" borderId="0" xfId="1" applyNumberFormat="1" applyBorder="1" applyAlignment="1">
      <alignment horizontal="center"/>
    </xf>
    <xf numFmtId="164" fontId="1" fillId="0" borderId="6" xfId="1" applyNumberFormat="1" applyBorder="1"/>
    <xf numFmtId="164" fontId="1" fillId="0" borderId="7" xfId="1" applyNumberFormat="1" applyBorder="1"/>
    <xf numFmtId="164" fontId="14" fillId="0" borderId="0" xfId="1" applyNumberFormat="1" applyFont="1"/>
    <xf numFmtId="172" fontId="1" fillId="0" borderId="0" xfId="1" applyNumberFormat="1"/>
    <xf numFmtId="166" fontId="1" fillId="0" borderId="0" xfId="1" applyNumberFormat="1" applyBorder="1"/>
    <xf numFmtId="166" fontId="1" fillId="0" borderId="9" xfId="1" applyNumberFormat="1" applyBorder="1"/>
    <xf numFmtId="164" fontId="1" fillId="0" borderId="0" xfId="1" applyNumberFormat="1" applyFill="1" applyBorder="1"/>
    <xf numFmtId="173" fontId="1" fillId="0" borderId="0" xfId="1" applyNumberFormat="1" applyBorder="1"/>
    <xf numFmtId="164" fontId="1" fillId="0" borderId="1" xfId="1" applyNumberFormat="1" applyBorder="1" applyAlignment="1">
      <alignment horizontal="center"/>
    </xf>
    <xf numFmtId="0" fontId="10" fillId="0" borderId="0" xfId="1" applyFont="1" applyAlignment="1">
      <alignment horizontal="center"/>
    </xf>
    <xf numFmtId="164" fontId="10" fillId="0" borderId="0" xfId="1" applyNumberFormat="1" applyFont="1" applyAlignment="1">
      <alignment horizontal="center"/>
    </xf>
    <xf numFmtId="164" fontId="11" fillId="0" borderId="1" xfId="1" applyNumberFormat="1" applyFont="1" applyBorder="1"/>
    <xf numFmtId="164" fontId="11" fillId="0" borderId="0" xfId="1" applyNumberFormat="1" applyFont="1" applyBorder="1"/>
    <xf numFmtId="37" fontId="10" fillId="0" borderId="0" xfId="1" applyNumberFormat="1" applyFont="1" applyAlignment="1">
      <alignment horizontal="center"/>
    </xf>
    <xf numFmtId="164" fontId="11" fillId="0" borderId="0" xfId="1" applyNumberFormat="1" applyFont="1" applyBorder="1" applyAlignment="1">
      <alignment horizontal="left"/>
    </xf>
    <xf numFmtId="37" fontId="10" fillId="0" borderId="0" xfId="1" quotePrefix="1" applyNumberFormat="1" applyFont="1" applyAlignment="1">
      <alignment horizontal="center"/>
    </xf>
    <xf numFmtId="0" fontId="1" fillId="0" borderId="5" xfId="1" applyBorder="1"/>
    <xf numFmtId="164" fontId="7" fillId="0" borderId="1" xfId="1" applyNumberFormat="1" applyFont="1" applyBorder="1" applyAlignment="1">
      <alignment horizontal="center"/>
    </xf>
    <xf numFmtId="164" fontId="7" fillId="0" borderId="0" xfId="1" applyNumberFormat="1" applyFont="1" applyBorder="1" applyAlignment="1">
      <alignment horizontal="center"/>
    </xf>
    <xf numFmtId="10" fontId="1" fillId="0" borderId="0" xfId="1" applyNumberFormat="1" applyBorder="1"/>
    <xf numFmtId="164" fontId="7" fillId="0" borderId="0" xfId="1" applyNumberFormat="1" applyFont="1" applyBorder="1"/>
    <xf numFmtId="164" fontId="1" fillId="0" borderId="0" xfId="1" applyNumberFormat="1" applyFont="1" applyBorder="1"/>
    <xf numFmtId="164" fontId="10" fillId="0" borderId="5" xfId="1" applyNumberFormat="1" applyFont="1" applyBorder="1"/>
    <xf numFmtId="164" fontId="10" fillId="0" borderId="7" xfId="1" applyNumberFormat="1" applyFont="1" applyBorder="1"/>
    <xf numFmtId="164" fontId="10" fillId="0" borderId="8" xfId="1" applyNumberFormat="1" applyFont="1" applyBorder="1"/>
    <xf numFmtId="164" fontId="3" fillId="0" borderId="0" xfId="5" applyFont="1"/>
    <xf numFmtId="49" fontId="3" fillId="0" borderId="0" xfId="5" applyNumberFormat="1" applyFont="1"/>
    <xf numFmtId="174" fontId="3" fillId="0" borderId="0" xfId="5" applyNumberFormat="1" applyFont="1"/>
    <xf numFmtId="164" fontId="3" fillId="2" borderId="0" xfId="5" applyFont="1" applyFill="1"/>
    <xf numFmtId="49" fontId="6" fillId="2" borderId="0" xfId="5" applyNumberFormat="1" applyFont="1" applyFill="1"/>
    <xf numFmtId="174" fontId="6" fillId="2" borderId="0" xfId="5" applyNumberFormat="1" applyFont="1" applyFill="1"/>
    <xf numFmtId="164" fontId="16" fillId="0" borderId="0" xfId="5" applyFont="1"/>
    <xf numFmtId="49" fontId="6" fillId="0" borderId="0" xfId="5" applyNumberFormat="1" applyFont="1"/>
    <xf numFmtId="174" fontId="3" fillId="0" borderId="0" xfId="5" quotePrefix="1" applyNumberFormat="1" applyFont="1"/>
    <xf numFmtId="49" fontId="6" fillId="0" borderId="0" xfId="5" quotePrefix="1" applyNumberFormat="1" applyFont="1"/>
    <xf numFmtId="164" fontId="16" fillId="0" borderId="0" xfId="5" applyFont="1" applyFill="1"/>
    <xf numFmtId="164" fontId="3" fillId="0" borderId="0" xfId="5" applyFont="1" applyBorder="1"/>
    <xf numFmtId="164" fontId="3" fillId="0" borderId="1" xfId="5" applyFont="1" applyBorder="1"/>
    <xf numFmtId="49" fontId="3" fillId="0" borderId="1" xfId="5" applyNumberFormat="1" applyFont="1" applyBorder="1"/>
    <xf numFmtId="174" fontId="3" fillId="0" borderId="1" xfId="5" applyNumberFormat="1" applyFont="1" applyBorder="1"/>
    <xf numFmtId="38" fontId="3" fillId="0" borderId="0" xfId="5" applyNumberFormat="1" applyFont="1" applyAlignment="1">
      <alignment horizontal="center"/>
    </xf>
    <xf numFmtId="49" fontId="2" fillId="0" borderId="0" xfId="5" applyNumberFormat="1" applyFont="1"/>
    <xf numFmtId="174" fontId="2" fillId="0" borderId="0" xfId="5" applyNumberFormat="1" applyFont="1"/>
    <xf numFmtId="0" fontId="1" fillId="3" borderId="1" xfId="1" applyFill="1" applyBorder="1"/>
    <xf numFmtId="14" fontId="1" fillId="3" borderId="1" xfId="1" applyNumberFormat="1" applyFill="1" applyBorder="1"/>
    <xf numFmtId="49" fontId="1" fillId="3" borderId="1" xfId="1" applyNumberFormat="1" applyFill="1" applyBorder="1"/>
    <xf numFmtId="0" fontId="1" fillId="3" borderId="0" xfId="1" applyFill="1" applyBorder="1"/>
    <xf numFmtId="175" fontId="1" fillId="3" borderId="0" xfId="1" applyNumberFormat="1" applyFill="1" applyBorder="1"/>
    <xf numFmtId="14" fontId="1" fillId="3" borderId="0" xfId="1" applyNumberFormat="1" applyFill="1"/>
    <xf numFmtId="49" fontId="1" fillId="3" borderId="0" xfId="1" applyNumberFormat="1" applyFill="1" applyBorder="1"/>
    <xf numFmtId="0" fontId="1" fillId="3" borderId="7" xfId="1" applyFill="1" applyBorder="1"/>
    <xf numFmtId="49" fontId="1" fillId="3" borderId="7" xfId="1" applyNumberFormat="1" applyFill="1" applyBorder="1"/>
    <xf numFmtId="0" fontId="1" fillId="4" borderId="1" xfId="1" applyFill="1" applyBorder="1"/>
    <xf numFmtId="14" fontId="1" fillId="4" borderId="1" xfId="1" applyNumberFormat="1" applyFill="1" applyBorder="1"/>
    <xf numFmtId="49" fontId="1" fillId="4" borderId="1" xfId="1" applyNumberFormat="1" applyFill="1" applyBorder="1"/>
    <xf numFmtId="0" fontId="1" fillId="4" borderId="0" xfId="1" applyFill="1" applyBorder="1"/>
    <xf numFmtId="175" fontId="1" fillId="4" borderId="0" xfId="1" applyNumberFormat="1" applyFill="1" applyBorder="1"/>
    <xf numFmtId="14" fontId="1" fillId="4" borderId="0" xfId="1" applyNumberFormat="1" applyFill="1"/>
    <xf numFmtId="49" fontId="1" fillId="4" borderId="0" xfId="1" applyNumberFormat="1" applyFill="1" applyBorder="1"/>
    <xf numFmtId="0" fontId="1" fillId="4" borderId="7" xfId="1" applyFill="1" applyBorder="1"/>
    <xf numFmtId="49" fontId="1" fillId="4" borderId="7" xfId="1" applyNumberFormat="1" applyFill="1" applyBorder="1"/>
    <xf numFmtId="0" fontId="1" fillId="3" borderId="0" xfId="1" applyFill="1"/>
    <xf numFmtId="175" fontId="1" fillId="3" borderId="0" xfId="1" applyNumberFormat="1" applyFill="1"/>
    <xf numFmtId="49" fontId="1" fillId="3" borderId="0" xfId="1" applyNumberFormat="1" applyFill="1"/>
    <xf numFmtId="0" fontId="1" fillId="4" borderId="0" xfId="1" applyFill="1"/>
    <xf numFmtId="175" fontId="1" fillId="4" borderId="0" xfId="1" applyNumberFormat="1" applyFill="1"/>
    <xf numFmtId="49" fontId="1" fillId="4" borderId="0" xfId="1" applyNumberFormat="1" applyFill="1"/>
    <xf numFmtId="49" fontId="1" fillId="0" borderId="0" xfId="1" applyNumberFormat="1"/>
    <xf numFmtId="0" fontId="17" fillId="0" borderId="0" xfId="7" applyFont="1" applyFill="1"/>
    <xf numFmtId="165" fontId="17" fillId="0" borderId="0" xfId="7" applyNumberFormat="1" applyFont="1" applyFill="1"/>
    <xf numFmtId="0" fontId="18" fillId="0" borderId="0" xfId="7" applyFont="1" applyFill="1" applyProtection="1"/>
    <xf numFmtId="39" fontId="17" fillId="0" borderId="0" xfId="7" applyNumberFormat="1" applyFont="1" applyFill="1"/>
    <xf numFmtId="38" fontId="17" fillId="0" borderId="0" xfId="7" applyNumberFormat="1" applyFont="1" applyFill="1"/>
    <xf numFmtId="37" fontId="18" fillId="0" borderId="10" xfId="7" applyNumberFormat="1" applyFont="1" applyFill="1" applyBorder="1" applyProtection="1"/>
    <xf numFmtId="0" fontId="18" fillId="0" borderId="10" xfId="7" applyFont="1" applyFill="1" applyBorder="1" applyProtection="1"/>
    <xf numFmtId="165" fontId="18" fillId="0" borderId="0" xfId="7" applyNumberFormat="1" applyFont="1" applyFill="1" applyProtection="1"/>
    <xf numFmtId="37" fontId="18" fillId="0" borderId="0" xfId="7" applyNumberFormat="1" applyFont="1" applyFill="1" applyProtection="1"/>
    <xf numFmtId="37" fontId="18" fillId="0" borderId="11" xfId="7" applyNumberFormat="1" applyFont="1" applyFill="1" applyBorder="1" applyProtection="1"/>
    <xf numFmtId="37" fontId="18" fillId="0" borderId="7" xfId="7" applyNumberFormat="1" applyFont="1" applyFill="1" applyBorder="1" applyProtection="1"/>
    <xf numFmtId="37" fontId="17" fillId="0" borderId="0" xfId="7" applyNumberFormat="1" applyFont="1" applyFill="1" applyProtection="1"/>
    <xf numFmtId="37" fontId="17" fillId="0" borderId="0" xfId="7" applyNumberFormat="1" applyFont="1" applyFill="1"/>
    <xf numFmtId="37" fontId="18" fillId="0" borderId="0" xfId="7" applyNumberFormat="1" applyFont="1" applyFill="1" applyAlignment="1" applyProtection="1">
      <alignment horizontal="center"/>
    </xf>
    <xf numFmtId="176" fontId="20" fillId="0" borderId="0" xfId="7" applyNumberFormat="1" applyFont="1" applyFill="1" applyProtection="1"/>
    <xf numFmtId="0" fontId="18" fillId="0" borderId="0" xfId="7" quotePrefix="1" applyFont="1" applyFill="1" applyProtection="1"/>
    <xf numFmtId="0" fontId="18" fillId="0" borderId="0" xfId="7" quotePrefix="1" applyFont="1" applyFill="1" applyAlignment="1" applyProtection="1">
      <alignment horizontal="left"/>
    </xf>
    <xf numFmtId="0" fontId="18" fillId="0" borderId="0" xfId="7" applyFont="1" applyFill="1" applyAlignment="1" applyProtection="1">
      <alignment horizontal="left"/>
    </xf>
    <xf numFmtId="0" fontId="21" fillId="0" borderId="0" xfId="7" applyFont="1" applyFill="1" applyProtection="1"/>
    <xf numFmtId="38" fontId="17" fillId="0" borderId="11" xfId="7" applyNumberFormat="1" applyFont="1" applyFill="1" applyBorder="1"/>
    <xf numFmtId="0" fontId="17" fillId="0" borderId="0" xfId="7" applyFont="1" applyFill="1" applyBorder="1"/>
    <xf numFmtId="0" fontId="18" fillId="0" borderId="0" xfId="7" applyFont="1" applyFill="1" applyBorder="1" applyProtection="1"/>
    <xf numFmtId="37" fontId="18" fillId="0" borderId="0" xfId="7" applyNumberFormat="1" applyFont="1" applyFill="1" applyBorder="1" applyProtection="1"/>
    <xf numFmtId="177" fontId="18" fillId="0" borderId="0" xfId="7" applyNumberFormat="1" applyFont="1" applyFill="1" applyBorder="1" applyProtection="1"/>
    <xf numFmtId="177" fontId="18" fillId="0" borderId="0" xfId="7" applyNumberFormat="1" applyFont="1" applyFill="1" applyProtection="1"/>
    <xf numFmtId="14" fontId="17" fillId="0" borderId="0" xfId="7" applyNumberFormat="1" applyFont="1" applyFill="1"/>
    <xf numFmtId="0" fontId="18" fillId="0" borderId="0" xfId="7" applyFont="1" applyFill="1" applyAlignment="1" applyProtection="1">
      <alignment horizontal="center"/>
    </xf>
    <xf numFmtId="0" fontId="22" fillId="0" borderId="0" xfId="7" applyFont="1" applyFill="1" applyProtection="1"/>
    <xf numFmtId="0" fontId="22" fillId="0" borderId="12" xfId="7" applyFont="1" applyFill="1" applyBorder="1" applyProtection="1"/>
    <xf numFmtId="0" fontId="22" fillId="0" borderId="12" xfId="7" applyFont="1" applyFill="1" applyBorder="1" applyAlignment="1" applyProtection="1">
      <alignment horizontal="center"/>
    </xf>
    <xf numFmtId="0" fontId="22" fillId="0" borderId="0" xfId="7" applyFont="1" applyFill="1" applyAlignment="1" applyProtection="1">
      <alignment horizontal="center"/>
    </xf>
    <xf numFmtId="0" fontId="22" fillId="0" borderId="12" xfId="7" applyFont="1" applyFill="1" applyBorder="1" applyAlignment="1" applyProtection="1">
      <alignment horizontal="centerContinuous"/>
    </xf>
    <xf numFmtId="0" fontId="23" fillId="0" borderId="0" xfId="7" applyFont="1" applyFill="1" applyProtection="1">
      <protection locked="0"/>
    </xf>
    <xf numFmtId="0" fontId="17" fillId="0" borderId="0" xfId="7" applyFont="1" applyFill="1" applyAlignment="1" applyProtection="1">
      <alignment horizontal="left"/>
      <protection locked="0"/>
    </xf>
    <xf numFmtId="0" fontId="22" fillId="0" borderId="0" xfId="7" applyFont="1" applyFill="1" applyAlignment="1" applyProtection="1">
      <alignment horizontal="left"/>
    </xf>
    <xf numFmtId="37" fontId="18" fillId="0" borderId="1" xfId="7" applyNumberFormat="1" applyFont="1" applyFill="1" applyBorder="1" applyProtection="1"/>
    <xf numFmtId="37" fontId="18" fillId="0" borderId="0" xfId="7" quotePrefix="1" applyNumberFormat="1" applyFont="1" applyFill="1" applyAlignment="1" applyProtection="1">
      <alignment horizontal="center"/>
    </xf>
    <xf numFmtId="0" fontId="17" fillId="0" borderId="0" xfId="7" applyFont="1"/>
    <xf numFmtId="0" fontId="17" fillId="0" borderId="0" xfId="7" applyFont="1" applyAlignment="1">
      <alignment horizontal="center"/>
    </xf>
    <xf numFmtId="0" fontId="18" fillId="0" borderId="0" xfId="7" applyFont="1" applyAlignment="1" applyProtection="1"/>
    <xf numFmtId="178" fontId="18" fillId="0" borderId="10" xfId="4" applyNumberFormat="1" applyFont="1" applyFill="1" applyBorder="1" applyProtection="1"/>
    <xf numFmtId="10" fontId="18" fillId="0" borderId="10" xfId="7" applyNumberFormat="1" applyFont="1" applyFill="1" applyBorder="1" applyProtection="1"/>
    <xf numFmtId="179" fontId="18" fillId="0" borderId="0" xfId="7" applyNumberFormat="1" applyFont="1" applyFill="1" applyAlignment="1" applyProtection="1">
      <alignment horizontal="center"/>
    </xf>
    <xf numFmtId="176" fontId="18" fillId="0" borderId="0" xfId="7" applyNumberFormat="1" applyFont="1" applyFill="1" applyProtection="1"/>
    <xf numFmtId="180" fontId="18" fillId="0" borderId="0" xfId="2" applyNumberFormat="1" applyFont="1" applyFill="1" applyBorder="1" applyProtection="1"/>
    <xf numFmtId="37" fontId="18" fillId="0" borderId="12" xfId="7" applyNumberFormat="1" applyFont="1" applyFill="1" applyBorder="1" applyProtection="1"/>
    <xf numFmtId="178" fontId="18" fillId="0" borderId="0" xfId="4" applyNumberFormat="1" applyFont="1" applyFill="1" applyBorder="1" applyProtection="1"/>
    <xf numFmtId="0" fontId="18" fillId="0" borderId="0" xfId="7" applyFont="1" applyFill="1" applyBorder="1" applyAlignment="1" applyProtection="1">
      <alignment horizontal="center"/>
    </xf>
    <xf numFmtId="176" fontId="18" fillId="0" borderId="0" xfId="7" applyNumberFormat="1" applyFont="1" applyFill="1" applyBorder="1" applyProtection="1"/>
    <xf numFmtId="0" fontId="18" fillId="0" borderId="12" xfId="7" applyFont="1" applyFill="1" applyBorder="1" applyProtection="1"/>
    <xf numFmtId="178" fontId="18" fillId="0" borderId="0" xfId="4" applyNumberFormat="1" applyFont="1" applyFill="1" applyBorder="1" applyAlignment="1" applyProtection="1">
      <alignment horizontal="center"/>
    </xf>
    <xf numFmtId="10" fontId="18" fillId="0" borderId="0" xfId="7" applyNumberFormat="1" applyFont="1" applyFill="1" applyProtection="1"/>
    <xf numFmtId="178" fontId="18" fillId="0" borderId="10" xfId="4" applyNumberFormat="1" applyFont="1" applyFill="1" applyBorder="1" applyAlignment="1" applyProtection="1">
      <alignment horizontal="center"/>
    </xf>
    <xf numFmtId="37" fontId="18" fillId="0" borderId="0" xfId="7" applyNumberFormat="1" applyFont="1" applyProtection="1"/>
    <xf numFmtId="0" fontId="18" fillId="0" borderId="0" xfId="7" applyFont="1" applyProtection="1"/>
    <xf numFmtId="176" fontId="18" fillId="0" borderId="0" xfId="7" applyNumberFormat="1" applyFont="1" applyProtection="1"/>
    <xf numFmtId="0" fontId="18" fillId="0" borderId="0" xfId="7" applyFont="1" applyBorder="1" applyProtection="1"/>
    <xf numFmtId="176" fontId="18" fillId="0" borderId="0" xfId="7" applyNumberFormat="1" applyFont="1" applyBorder="1" applyAlignment="1" applyProtection="1">
      <alignment horizontal="center"/>
    </xf>
    <xf numFmtId="0" fontId="18" fillId="0" borderId="12" xfId="7" applyFont="1" applyBorder="1" applyProtection="1"/>
    <xf numFmtId="0" fontId="18" fillId="0" borderId="0" xfId="7" applyFont="1" applyAlignment="1" applyProtection="1">
      <alignment horizontal="centerContinuous"/>
    </xf>
    <xf numFmtId="0" fontId="18" fillId="0" borderId="0" xfId="7" applyFont="1" applyAlignment="1" applyProtection="1">
      <alignment horizontal="center"/>
    </xf>
    <xf numFmtId="0" fontId="18" fillId="0" borderId="13" xfId="7" applyFont="1" applyBorder="1" applyProtection="1"/>
    <xf numFmtId="37" fontId="17" fillId="0" borderId="0" xfId="7" applyNumberFormat="1" applyFont="1"/>
    <xf numFmtId="165" fontId="18" fillId="0" borderId="0" xfId="7" applyNumberFormat="1" applyFont="1" applyProtection="1"/>
    <xf numFmtId="0" fontId="26" fillId="0" borderId="0" xfId="7" applyFont="1" applyProtection="1"/>
    <xf numFmtId="165" fontId="18" fillId="0" borderId="12" xfId="7" applyNumberFormat="1" applyFont="1" applyFill="1" applyBorder="1" applyProtection="1"/>
    <xf numFmtId="0" fontId="27" fillId="0" borderId="0" xfId="7" applyFont="1"/>
    <xf numFmtId="181" fontId="18" fillId="0" borderId="0" xfId="2" applyNumberFormat="1" applyFont="1" applyFill="1" applyProtection="1"/>
    <xf numFmtId="182" fontId="18" fillId="0" borderId="0" xfId="7" applyNumberFormat="1" applyFont="1" applyFill="1" applyProtection="1"/>
    <xf numFmtId="0" fontId="21" fillId="0" borderId="0" xfId="7" applyFont="1" applyProtection="1"/>
    <xf numFmtId="0" fontId="22" fillId="0" borderId="0" xfId="7" applyFont="1" applyProtection="1"/>
    <xf numFmtId="0" fontId="22" fillId="0" borderId="12" xfId="7" applyFont="1" applyBorder="1" applyAlignment="1" applyProtection="1">
      <alignment horizontal="center"/>
    </xf>
    <xf numFmtId="0" fontId="22" fillId="0" borderId="12" xfId="7" applyFont="1" applyBorder="1" applyAlignment="1" applyProtection="1">
      <alignment horizontal="centerContinuous"/>
    </xf>
    <xf numFmtId="0" fontId="22" fillId="0" borderId="12" xfId="7" applyFont="1" applyBorder="1" applyProtection="1"/>
    <xf numFmtId="0" fontId="22" fillId="0" borderId="0" xfId="7" applyFont="1" applyAlignment="1" applyProtection="1">
      <alignment horizontal="centerContinuous"/>
    </xf>
    <xf numFmtId="0" fontId="22" fillId="0" borderId="0" xfId="7" applyFont="1" applyAlignment="1" applyProtection="1">
      <alignment horizontal="center"/>
    </xf>
    <xf numFmtId="0" fontId="28" fillId="0" borderId="0" xfId="7" applyFont="1" applyProtection="1"/>
    <xf numFmtId="0" fontId="23" fillId="0" borderId="0" xfId="7" applyFont="1" applyProtection="1">
      <protection locked="0"/>
    </xf>
    <xf numFmtId="0" fontId="18" fillId="0" borderId="0" xfId="7" applyFont="1" applyAlignment="1" applyProtection="1">
      <alignment horizontal="left"/>
    </xf>
    <xf numFmtId="0" fontId="17" fillId="0" borderId="0" xfId="7" applyFont="1" applyAlignment="1" applyProtection="1">
      <alignment horizontal="left"/>
      <protection locked="0"/>
    </xf>
    <xf numFmtId="0" fontId="22" fillId="0" borderId="0" xfId="7" applyFont="1" applyAlignment="1" applyProtection="1">
      <alignment horizontal="left"/>
    </xf>
    <xf numFmtId="165" fontId="18" fillId="0" borderId="10" xfId="7" applyNumberFormat="1" applyFont="1" applyFill="1" applyBorder="1" applyProtection="1"/>
    <xf numFmtId="165" fontId="18" fillId="0" borderId="0" xfId="7" applyNumberFormat="1" applyFont="1" applyFill="1" applyBorder="1" applyProtection="1"/>
    <xf numFmtId="0" fontId="20" fillId="0" borderId="0" xfId="7" applyFont="1"/>
    <xf numFmtId="0" fontId="18" fillId="0" borderId="0" xfId="7" quotePrefix="1" applyFont="1" applyFill="1" applyAlignment="1" applyProtection="1">
      <alignment horizontal="center"/>
    </xf>
    <xf numFmtId="10" fontId="18" fillId="0" borderId="0" xfId="7" applyNumberFormat="1" applyFont="1" applyFill="1" applyBorder="1" applyProtection="1"/>
    <xf numFmtId="0" fontId="26" fillId="0" borderId="0" xfId="7" applyFont="1" applyFill="1" applyBorder="1" applyProtection="1"/>
    <xf numFmtId="38" fontId="18" fillId="0" borderId="10" xfId="7" applyNumberFormat="1" applyFont="1" applyFill="1" applyBorder="1" applyProtection="1"/>
    <xf numFmtId="0" fontId="20" fillId="0" borderId="0" xfId="7" applyFont="1" applyFill="1"/>
    <xf numFmtId="10" fontId="18" fillId="0" borderId="0" xfId="6" applyNumberFormat="1" applyFont="1" applyFill="1" applyProtection="1"/>
    <xf numFmtId="0" fontId="27" fillId="0" borderId="0" xfId="7" applyFont="1" applyFill="1"/>
    <xf numFmtId="38" fontId="18" fillId="0" borderId="0" xfId="7" applyNumberFormat="1" applyFont="1" applyFill="1" applyProtection="1"/>
    <xf numFmtId="180" fontId="18" fillId="0" borderId="0" xfId="2" applyNumberFormat="1" applyFont="1" applyFill="1" applyProtection="1"/>
    <xf numFmtId="0" fontId="22" fillId="0" borderId="0" xfId="7" applyFont="1" applyFill="1" applyBorder="1" applyAlignment="1" applyProtection="1">
      <alignment horizontal="center"/>
    </xf>
    <xf numFmtId="0" fontId="22" fillId="0" borderId="0" xfId="7" applyFont="1" applyFill="1" applyBorder="1" applyAlignment="1" applyProtection="1"/>
    <xf numFmtId="0" fontId="26" fillId="0" borderId="0" xfId="7" applyFont="1" applyFill="1" applyProtection="1"/>
    <xf numFmtId="0" fontId="22" fillId="0" borderId="0" xfId="7" applyFont="1" applyFill="1" applyAlignment="1" applyProtection="1">
      <alignment horizontal="centerContinuous"/>
    </xf>
    <xf numFmtId="0" fontId="17" fillId="0" borderId="0" xfId="7" applyFont="1" applyFill="1" applyAlignment="1">
      <alignment horizontal="center"/>
    </xf>
    <xf numFmtId="0" fontId="18" fillId="0" borderId="0" xfId="7" applyFont="1" applyFill="1" applyAlignment="1" applyProtection="1">
      <alignment horizontal="centerContinuous"/>
    </xf>
    <xf numFmtId="166" fontId="18" fillId="0" borderId="0" xfId="7" applyNumberFormat="1" applyFont="1" applyFill="1" applyProtection="1"/>
    <xf numFmtId="169" fontId="18" fillId="0" borderId="0" xfId="7" applyNumberFormat="1" applyFont="1" applyFill="1" applyBorder="1" applyProtection="1"/>
    <xf numFmtId="169" fontId="18" fillId="0" borderId="0" xfId="7" applyNumberFormat="1" applyFont="1" applyFill="1" applyProtection="1"/>
    <xf numFmtId="5" fontId="18" fillId="0" borderId="0" xfId="7" applyNumberFormat="1" applyFont="1" applyFill="1" applyProtection="1"/>
    <xf numFmtId="0" fontId="18" fillId="0" borderId="12" xfId="7" applyFont="1" applyFill="1" applyBorder="1" applyAlignment="1" applyProtection="1">
      <alignment horizontal="center"/>
    </xf>
    <xf numFmtId="0" fontId="18" fillId="0" borderId="12" xfId="7" applyFont="1" applyFill="1" applyBorder="1" applyAlignment="1" applyProtection="1">
      <alignment horizontal="centerContinuous"/>
    </xf>
    <xf numFmtId="183" fontId="18" fillId="0" borderId="10" xfId="7" applyNumberFormat="1" applyFont="1" applyFill="1" applyBorder="1" applyProtection="1"/>
    <xf numFmtId="5" fontId="18" fillId="0" borderId="10" xfId="7" applyNumberFormat="1" applyFont="1" applyFill="1" applyBorder="1" applyProtection="1"/>
    <xf numFmtId="183" fontId="18" fillId="0" borderId="0" xfId="7" applyNumberFormat="1" applyFont="1" applyFill="1" applyBorder="1" applyAlignment="1" applyProtection="1">
      <alignment horizontal="right"/>
    </xf>
    <xf numFmtId="183" fontId="18" fillId="0" borderId="0" xfId="7" applyNumberFormat="1" applyFont="1" applyFill="1" applyBorder="1" applyProtection="1"/>
    <xf numFmtId="183" fontId="18" fillId="0" borderId="0" xfId="7" applyNumberFormat="1" applyFont="1" applyFill="1" applyProtection="1"/>
    <xf numFmtId="181" fontId="17" fillId="0" borderId="0" xfId="2" applyNumberFormat="1" applyFont="1" applyFill="1" applyBorder="1"/>
    <xf numFmtId="0" fontId="17" fillId="0" borderId="0" xfId="7" applyFont="1" applyFill="1" applyAlignment="1" applyProtection="1"/>
    <xf numFmtId="0" fontId="18" fillId="0" borderId="0" xfId="7" applyFont="1" applyFill="1" applyAlignment="1" applyProtection="1"/>
    <xf numFmtId="0" fontId="22" fillId="0" borderId="0" xfId="7" applyFont="1" applyFill="1" applyAlignment="1" applyProtection="1"/>
    <xf numFmtId="181" fontId="17" fillId="0" borderId="0" xfId="2" applyNumberFormat="1" applyFont="1" applyFill="1"/>
    <xf numFmtId="175" fontId="18" fillId="0" borderId="0" xfId="7" applyNumberFormat="1" applyFont="1" applyFill="1" applyProtection="1"/>
    <xf numFmtId="0" fontId="18" fillId="0" borderId="1" xfId="7" applyFont="1" applyFill="1" applyBorder="1" applyProtection="1"/>
    <xf numFmtId="0" fontId="26" fillId="0" borderId="0" xfId="7" applyFont="1" applyFill="1" applyAlignment="1" applyProtection="1">
      <alignment horizontal="centerContinuous"/>
    </xf>
    <xf numFmtId="181" fontId="17" fillId="0" borderId="0" xfId="7" applyNumberFormat="1" applyFont="1" applyFill="1"/>
    <xf numFmtId="37" fontId="18" fillId="0" borderId="14" xfId="7" applyNumberFormat="1" applyFont="1" applyFill="1" applyBorder="1" applyProtection="1"/>
    <xf numFmtId="37" fontId="18" fillId="0" borderId="14" xfId="7" applyNumberFormat="1" applyFont="1" applyFill="1" applyBorder="1" applyProtection="1">
      <protection locked="0"/>
    </xf>
    <xf numFmtId="165" fontId="31" fillId="0" borderId="0" xfId="7" applyNumberFormat="1" applyFont="1" applyFill="1" applyProtection="1"/>
    <xf numFmtId="165" fontId="18" fillId="0" borderId="11" xfId="7" applyNumberFormat="1" applyFont="1" applyFill="1" applyBorder="1" applyProtection="1"/>
    <xf numFmtId="37" fontId="17" fillId="0" borderId="1" xfId="7" applyNumberFormat="1" applyFont="1" applyFill="1" applyBorder="1"/>
    <xf numFmtId="37" fontId="17" fillId="0" borderId="0" xfId="7" applyNumberFormat="1" applyFont="1" applyFill="1" applyBorder="1"/>
    <xf numFmtId="0" fontId="28" fillId="0" borderId="0" xfId="7" applyFont="1" applyFill="1" applyProtection="1"/>
    <xf numFmtId="165" fontId="22" fillId="0" borderId="0" xfId="7" applyNumberFormat="1" applyFont="1" applyFill="1" applyProtection="1"/>
    <xf numFmtId="37" fontId="18" fillId="0" borderId="15" xfId="7" applyNumberFormat="1" applyFont="1" applyFill="1" applyBorder="1" applyProtection="1"/>
    <xf numFmtId="0" fontId="23" fillId="0" borderId="0" xfId="7" applyFont="1" applyFill="1" applyProtection="1"/>
    <xf numFmtId="184" fontId="0" fillId="0" borderId="0" xfId="4" applyNumberFormat="1" applyFont="1"/>
    <xf numFmtId="185" fontId="3" fillId="0" borderId="0" xfId="7" applyNumberFormat="1" applyFont="1"/>
    <xf numFmtId="181" fontId="3" fillId="0" borderId="0" xfId="7" applyNumberFormat="1"/>
    <xf numFmtId="185" fontId="32" fillId="0" borderId="0" xfId="4" applyNumberFormat="1" applyFont="1"/>
    <xf numFmtId="184" fontId="33" fillId="0" borderId="0" xfId="4" applyNumberFormat="1" applyFont="1"/>
    <xf numFmtId="181" fontId="32" fillId="0" borderId="0" xfId="7" applyNumberFormat="1" applyFont="1"/>
    <xf numFmtId="184" fontId="16" fillId="0" borderId="0" xfId="4" applyNumberFormat="1" applyFont="1"/>
    <xf numFmtId="185" fontId="3" fillId="0" borderId="0" xfId="4" applyNumberFormat="1" applyFont="1"/>
    <xf numFmtId="185" fontId="0" fillId="0" borderId="0" xfId="4" applyNumberFormat="1" applyFont="1"/>
    <xf numFmtId="185" fontId="33" fillId="0" borderId="0" xfId="4" applyNumberFormat="1" applyFont="1"/>
    <xf numFmtId="181" fontId="16" fillId="0" borderId="0" xfId="2" applyNumberFormat="1" applyFont="1"/>
    <xf numFmtId="181" fontId="0" fillId="0" borderId="0" xfId="2" applyNumberFormat="1" applyFont="1"/>
    <xf numFmtId="185" fontId="13" fillId="0" borderId="0" xfId="4" applyNumberFormat="1" applyFont="1"/>
    <xf numFmtId="181" fontId="33" fillId="0" borderId="0" xfId="2" applyNumberFormat="1" applyFont="1"/>
    <xf numFmtId="185" fontId="16" fillId="0" borderId="0" xfId="4" applyNumberFormat="1" applyFont="1"/>
    <xf numFmtId="181" fontId="34" fillId="0" borderId="0" xfId="2" applyNumberFormat="1" applyFont="1"/>
    <xf numFmtId="181" fontId="35" fillId="0" borderId="0" xfId="2" applyNumberFormat="1" applyFont="1"/>
    <xf numFmtId="0" fontId="9" fillId="0" borderId="0" xfId="7" applyFont="1" applyAlignment="1">
      <alignment horizontal="center"/>
    </xf>
    <xf numFmtId="0" fontId="3" fillId="0" borderId="1" xfId="7" applyBorder="1" applyAlignment="1">
      <alignment horizontal="centerContinuous"/>
    </xf>
    <xf numFmtId="186" fontId="3" fillId="0" borderId="1" xfId="7" applyNumberFormat="1" applyBorder="1" applyAlignment="1">
      <alignment horizontal="centerContinuous"/>
    </xf>
    <xf numFmtId="186" fontId="3" fillId="0" borderId="0" xfId="7" applyNumberFormat="1"/>
    <xf numFmtId="0" fontId="6" fillId="0" borderId="0" xfId="7" applyFont="1"/>
    <xf numFmtId="0" fontId="3" fillId="0" borderId="0" xfId="7" applyAlignment="1">
      <alignment horizontal="centerContinuous"/>
    </xf>
    <xf numFmtId="0" fontId="3" fillId="0" borderId="0" xfId="7" applyFont="1"/>
    <xf numFmtId="0" fontId="3" fillId="0" borderId="0" xfId="7" applyFont="1" applyBorder="1"/>
    <xf numFmtId="185" fontId="3" fillId="0" borderId="0" xfId="4" applyNumberFormat="1" applyFont="1" applyBorder="1"/>
    <xf numFmtId="181" fontId="3" fillId="0" borderId="0" xfId="7" applyNumberFormat="1" applyFont="1" applyBorder="1"/>
    <xf numFmtId="184" fontId="3" fillId="0" borderId="0" xfId="7" applyNumberFormat="1" applyFont="1" applyBorder="1"/>
    <xf numFmtId="0" fontId="3" fillId="0" borderId="0" xfId="7" applyBorder="1"/>
    <xf numFmtId="187" fontId="33" fillId="0" borderId="0" xfId="4" applyNumberFormat="1" applyFont="1"/>
    <xf numFmtId="185" fontId="3" fillId="5" borderId="0" xfId="7" applyNumberFormat="1" applyFont="1" applyFill="1"/>
    <xf numFmtId="0" fontId="3" fillId="5" borderId="0" xfId="7" applyFill="1"/>
    <xf numFmtId="181" fontId="3" fillId="5" borderId="0" xfId="7" applyNumberFormat="1" applyFill="1"/>
    <xf numFmtId="187" fontId="3" fillId="5" borderId="0" xfId="7" applyNumberFormat="1" applyFill="1"/>
    <xf numFmtId="38" fontId="0" fillId="5" borderId="1" xfId="4" applyNumberFormat="1" applyFont="1" applyFill="1" applyBorder="1"/>
    <xf numFmtId="187" fontId="33" fillId="5" borderId="0" xfId="4" applyNumberFormat="1" applyFont="1" applyFill="1"/>
    <xf numFmtId="181" fontId="32" fillId="5" borderId="0" xfId="7" applyNumberFormat="1" applyFont="1" applyFill="1"/>
    <xf numFmtId="38" fontId="3" fillId="5" borderId="1" xfId="4" applyNumberFormat="1" applyFont="1" applyFill="1" applyBorder="1"/>
    <xf numFmtId="187" fontId="3" fillId="5" borderId="0" xfId="4" applyNumberFormat="1" applyFont="1" applyFill="1"/>
    <xf numFmtId="181" fontId="3" fillId="5" borderId="1" xfId="7" applyNumberFormat="1" applyFont="1" applyFill="1" applyBorder="1"/>
    <xf numFmtId="38" fontId="0" fillId="5" borderId="0" xfId="4" applyNumberFormat="1" applyFont="1" applyFill="1"/>
    <xf numFmtId="184" fontId="33" fillId="5" borderId="0" xfId="4" applyNumberFormat="1" applyFont="1" applyFill="1"/>
    <xf numFmtId="185" fontId="3" fillId="5" borderId="0" xfId="4" applyNumberFormat="1" applyFont="1" applyFill="1"/>
    <xf numFmtId="185" fontId="0" fillId="5" borderId="0" xfId="4" applyNumberFormat="1" applyFont="1" applyFill="1"/>
    <xf numFmtId="187" fontId="16" fillId="5" borderId="0" xfId="4" applyNumberFormat="1" applyFont="1" applyFill="1"/>
    <xf numFmtId="181" fontId="16" fillId="5" borderId="0" xfId="2" applyNumberFormat="1" applyFont="1" applyFill="1"/>
    <xf numFmtId="181" fontId="0" fillId="5" borderId="0" xfId="2" applyNumberFormat="1" applyFont="1" applyFill="1"/>
    <xf numFmtId="0" fontId="3" fillId="0" borderId="0" xfId="7" applyFill="1"/>
    <xf numFmtId="181" fontId="33" fillId="0" borderId="0" xfId="2" applyNumberFormat="1" applyFont="1" applyFill="1"/>
    <xf numFmtId="181" fontId="0" fillId="0" borderId="0" xfId="2" applyNumberFormat="1" applyFont="1" applyFill="1"/>
    <xf numFmtId="0" fontId="3" fillId="0" borderId="1" xfId="7" applyBorder="1"/>
    <xf numFmtId="186" fontId="6" fillId="0" borderId="0" xfId="7" applyNumberFormat="1" applyFont="1" applyAlignment="1">
      <alignment horizontal="centerContinuous"/>
    </xf>
    <xf numFmtId="181" fontId="33" fillId="0" borderId="0" xfId="2" quotePrefix="1" applyNumberFormat="1" applyFont="1"/>
    <xf numFmtId="0" fontId="36" fillId="0" borderId="0" xfId="7" applyFont="1"/>
    <xf numFmtId="188" fontId="36" fillId="0" borderId="0" xfId="7" applyNumberFormat="1" applyFont="1"/>
    <xf numFmtId="0" fontId="37" fillId="0" borderId="0" xfId="7" applyFont="1" applyProtection="1">
      <protection locked="0"/>
    </xf>
    <xf numFmtId="0" fontId="38" fillId="0" borderId="0" xfId="7" applyFont="1"/>
    <xf numFmtId="0" fontId="36" fillId="0" borderId="0" xfId="7" applyFont="1" applyAlignment="1"/>
    <xf numFmtId="188" fontId="36" fillId="0" borderId="0" xfId="7" applyNumberFormat="1" applyFont="1" applyAlignment="1"/>
    <xf numFmtId="0" fontId="38" fillId="0" borderId="0" xfId="7" applyFont="1" applyAlignment="1"/>
    <xf numFmtId="14" fontId="36" fillId="0" borderId="0" xfId="7" applyNumberFormat="1" applyFont="1" applyAlignment="1"/>
    <xf numFmtId="189" fontId="39" fillId="0" borderId="0" xfId="4" applyNumberFormat="1" applyFont="1" applyAlignment="1"/>
    <xf numFmtId="0" fontId="40" fillId="0" borderId="0" xfId="7" applyFont="1"/>
    <xf numFmtId="0" fontId="41" fillId="0" borderId="0" xfId="7" applyFont="1" applyAlignment="1" applyProtection="1"/>
    <xf numFmtId="188" fontId="41" fillId="0" borderId="0" xfId="7" applyNumberFormat="1" applyFont="1" applyAlignment="1" applyProtection="1"/>
    <xf numFmtId="0" fontId="42" fillId="0" borderId="0" xfId="7" applyFont="1" applyAlignment="1" applyProtection="1"/>
    <xf numFmtId="0" fontId="41" fillId="0" borderId="0" xfId="7" applyFont="1" applyProtection="1"/>
    <xf numFmtId="0" fontId="38" fillId="0" borderId="0" xfId="7" quotePrefix="1" applyFont="1" applyAlignment="1" applyProtection="1"/>
    <xf numFmtId="0" fontId="37" fillId="0" borderId="0" xfId="7" applyFont="1" applyAlignment="1" applyProtection="1"/>
    <xf numFmtId="0" fontId="43" fillId="0" borderId="0" xfId="7" applyFont="1" applyAlignment="1" applyProtection="1"/>
    <xf numFmtId="0" fontId="43" fillId="0" borderId="0" xfId="7" applyFont="1" applyProtection="1"/>
    <xf numFmtId="9" fontId="38" fillId="0" borderId="0" xfId="6" applyFont="1" applyProtection="1">
      <protection locked="0"/>
    </xf>
    <xf numFmtId="189" fontId="44" fillId="0" borderId="0" xfId="4" applyNumberFormat="1" applyFont="1" applyFill="1" applyBorder="1" applyProtection="1"/>
    <xf numFmtId="0" fontId="45" fillId="0" borderId="0" xfId="7" applyFont="1" applyFill="1" applyBorder="1" applyProtection="1"/>
    <xf numFmtId="0" fontId="44" fillId="0" borderId="0" xfId="7" applyFont="1" applyFill="1" applyBorder="1" applyProtection="1">
      <protection locked="0"/>
    </xf>
    <xf numFmtId="189" fontId="38" fillId="0" borderId="9" xfId="4" applyNumberFormat="1" applyFont="1" applyBorder="1" applyProtection="1"/>
    <xf numFmtId="189" fontId="38" fillId="0" borderId="0" xfId="4" applyNumberFormat="1" applyFont="1" applyBorder="1" applyProtection="1"/>
    <xf numFmtId="0" fontId="38" fillId="0" borderId="0" xfId="7" applyFont="1" applyProtection="1"/>
    <xf numFmtId="188" fontId="38" fillId="0" borderId="0" xfId="7" applyNumberFormat="1" applyFont="1" applyProtection="1"/>
    <xf numFmtId="0" fontId="38" fillId="0" borderId="0" xfId="7" applyFont="1" applyProtection="1">
      <protection locked="0"/>
    </xf>
    <xf numFmtId="190" fontId="37" fillId="0" borderId="0" xfId="7" applyNumberFormat="1" applyFont="1" applyProtection="1">
      <protection locked="0"/>
    </xf>
    <xf numFmtId="190" fontId="37" fillId="0" borderId="0" xfId="7" applyNumberFormat="1" applyFont="1" applyBorder="1" applyProtection="1">
      <protection locked="0"/>
    </xf>
    <xf numFmtId="191" fontId="46" fillId="0" borderId="0" xfId="7" applyNumberFormat="1" applyFont="1" applyFill="1"/>
    <xf numFmtId="190" fontId="37" fillId="0" borderId="0" xfId="7" applyNumberFormat="1" applyFont="1" applyFill="1" applyBorder="1" applyProtection="1">
      <protection locked="0"/>
    </xf>
    <xf numFmtId="191" fontId="47" fillId="0" borderId="0" xfId="7" applyNumberFormat="1" applyFont="1" applyFill="1"/>
    <xf numFmtId="0" fontId="43" fillId="0" borderId="12" xfId="7" quotePrefix="1" applyFont="1" applyBorder="1" applyAlignment="1" applyProtection="1">
      <alignment horizontal="center"/>
    </xf>
    <xf numFmtId="0" fontId="43" fillId="0" borderId="0" xfId="7" quotePrefix="1" applyFont="1" applyBorder="1" applyAlignment="1" applyProtection="1">
      <alignment horizontal="center"/>
    </xf>
    <xf numFmtId="188" fontId="43" fillId="0" borderId="0" xfId="7" applyNumberFormat="1" applyFont="1" applyProtection="1"/>
    <xf numFmtId="193" fontId="38" fillId="0" borderId="0" xfId="7" applyNumberFormat="1" applyFont="1" applyAlignment="1" applyProtection="1">
      <alignment horizontal="center"/>
      <protection locked="0"/>
    </xf>
    <xf numFmtId="17" fontId="38" fillId="0" borderId="0" xfId="7" applyNumberFormat="1" applyFont="1" applyBorder="1" applyAlignment="1" applyProtection="1">
      <alignment horizontal="center"/>
    </xf>
    <xf numFmtId="193" fontId="37" fillId="0" borderId="0" xfId="7" applyNumberFormat="1" applyFont="1" applyAlignment="1" applyProtection="1">
      <alignment horizontal="center"/>
      <protection locked="0"/>
    </xf>
    <xf numFmtId="17" fontId="37" fillId="0" borderId="0" xfId="7" applyNumberFormat="1" applyFont="1" applyBorder="1" applyAlignment="1" applyProtection="1">
      <alignment horizontal="center"/>
    </xf>
    <xf numFmtId="0" fontId="43" fillId="0" borderId="0" xfId="7" applyFont="1" applyAlignment="1" applyProtection="1">
      <alignment horizontal="centerContinuous"/>
    </xf>
    <xf numFmtId="188" fontId="43" fillId="0" borderId="0" xfId="7" applyNumberFormat="1" applyFont="1" applyAlignment="1" applyProtection="1">
      <alignment horizontal="centerContinuous"/>
    </xf>
    <xf numFmtId="0" fontId="47" fillId="0" borderId="0" xfId="7" applyFont="1" applyAlignment="1" applyProtection="1">
      <alignment horizontal="centerContinuous"/>
      <protection locked="0"/>
    </xf>
    <xf numFmtId="0" fontId="41" fillId="0" borderId="0" xfId="7" applyFont="1" applyAlignment="1" applyProtection="1">
      <alignment horizontal="centerContinuous"/>
    </xf>
    <xf numFmtId="188" fontId="41" fillId="0" borderId="0" xfId="7" applyNumberFormat="1" applyFont="1" applyAlignment="1" applyProtection="1">
      <alignment horizontal="centerContinuous"/>
    </xf>
    <xf numFmtId="0" fontId="48" fillId="0" borderId="0" xfId="7" applyFont="1" applyAlignment="1" applyProtection="1">
      <alignment horizontal="centerContinuous"/>
    </xf>
    <xf numFmtId="38" fontId="3" fillId="0" borderId="0" xfId="7" applyNumberFormat="1"/>
    <xf numFmtId="3" fontId="3" fillId="0" borderId="0" xfId="7" applyNumberFormat="1"/>
    <xf numFmtId="3" fontId="3" fillId="0" borderId="11" xfId="7" applyNumberFormat="1" applyFill="1" applyBorder="1"/>
    <xf numFmtId="187" fontId="3" fillId="0" borderId="11" xfId="7" applyNumberFormat="1" applyFill="1" applyBorder="1"/>
    <xf numFmtId="3" fontId="3" fillId="0" borderId="0" xfId="7" applyNumberFormat="1" applyFill="1"/>
    <xf numFmtId="187" fontId="3" fillId="0" borderId="0" xfId="7" applyNumberFormat="1" applyFill="1"/>
    <xf numFmtId="9" fontId="3" fillId="0" borderId="0" xfId="7" applyNumberFormat="1" applyFill="1"/>
    <xf numFmtId="3" fontId="16" fillId="0" borderId="0" xfId="7" applyNumberFormat="1" applyFont="1" applyFill="1"/>
    <xf numFmtId="38" fontId="3" fillId="0" borderId="0" xfId="7" applyNumberFormat="1" applyFill="1"/>
    <xf numFmtId="192" fontId="3" fillId="0" borderId="0" xfId="7" applyNumberFormat="1"/>
    <xf numFmtId="38" fontId="3" fillId="0" borderId="11" xfId="7" applyNumberFormat="1" applyFill="1" applyBorder="1"/>
    <xf numFmtId="38" fontId="16" fillId="0" borderId="0" xfId="7" applyNumberFormat="1" applyFont="1" applyFill="1"/>
    <xf numFmtId="192" fontId="16" fillId="0" borderId="0" xfId="7" applyNumberFormat="1" applyFont="1" applyFill="1"/>
    <xf numFmtId="38" fontId="3" fillId="0" borderId="1" xfId="7" applyNumberFormat="1" applyFill="1" applyBorder="1" applyAlignment="1">
      <alignment horizontal="center"/>
    </xf>
    <xf numFmtId="0" fontId="3" fillId="0" borderId="1" xfId="7" applyFill="1" applyBorder="1"/>
    <xf numFmtId="3" fontId="3" fillId="0" borderId="1" xfId="7" applyNumberFormat="1" applyFill="1" applyBorder="1"/>
    <xf numFmtId="38" fontId="3" fillId="0" borderId="0" xfId="7" applyNumberFormat="1" applyFill="1" applyAlignment="1">
      <alignment horizontal="center"/>
    </xf>
    <xf numFmtId="174" fontId="3" fillId="4" borderId="1" xfId="7" applyNumberFormat="1" applyFill="1" applyBorder="1" applyAlignment="1">
      <alignment horizontal="center"/>
    </xf>
    <xf numFmtId="0" fontId="49" fillId="0" borderId="0" xfId="9" applyAlignment="1" applyProtection="1"/>
    <xf numFmtId="0" fontId="2" fillId="0" borderId="0" xfId="7" applyFont="1"/>
    <xf numFmtId="0" fontId="17" fillId="0" borderId="0" xfId="10" applyFont="1"/>
    <xf numFmtId="0" fontId="17" fillId="0" borderId="0" xfId="10" applyFont="1" applyAlignment="1" applyProtection="1">
      <alignment horizontal="center"/>
    </xf>
    <xf numFmtId="40" fontId="17" fillId="0" borderId="0" xfId="10" applyNumberFormat="1" applyFont="1"/>
    <xf numFmtId="0" fontId="51" fillId="0" borderId="0" xfId="10" applyFont="1" applyProtection="1"/>
    <xf numFmtId="166" fontId="51" fillId="0" borderId="0" xfId="10" applyNumberFormat="1" applyFont="1" applyBorder="1" applyProtection="1"/>
    <xf numFmtId="0" fontId="17" fillId="0" borderId="0" xfId="10" applyFont="1" applyProtection="1"/>
    <xf numFmtId="0" fontId="17" fillId="0" borderId="0" xfId="10" applyFont="1" applyBorder="1"/>
    <xf numFmtId="5" fontId="17" fillId="0" borderId="0" xfId="10" applyNumberFormat="1" applyFont="1" applyBorder="1" applyProtection="1"/>
    <xf numFmtId="44" fontId="17" fillId="0" borderId="0" xfId="10" applyNumberFormat="1" applyFont="1"/>
    <xf numFmtId="178" fontId="17" fillId="0" borderId="0" xfId="10" applyNumberFormat="1" applyFont="1"/>
    <xf numFmtId="0" fontId="17" fillId="0" borderId="0" xfId="10" applyFont="1" applyBorder="1" applyProtection="1"/>
    <xf numFmtId="0" fontId="17" fillId="0" borderId="0" xfId="10" applyFont="1" applyBorder="1" applyAlignment="1" applyProtection="1">
      <alignment horizontal="center"/>
    </xf>
    <xf numFmtId="37" fontId="17" fillId="0" borderId="0" xfId="10" applyNumberFormat="1" applyFont="1" applyProtection="1"/>
    <xf numFmtId="7" fontId="17" fillId="0" borderId="1" xfId="11" applyNumberFormat="1" applyFont="1" applyFill="1" applyBorder="1" applyProtection="1"/>
    <xf numFmtId="7" fontId="17" fillId="0" borderId="0" xfId="10" applyNumberFormat="1" applyFont="1"/>
    <xf numFmtId="0" fontId="52" fillId="0" borderId="0" xfId="10" applyFont="1"/>
    <xf numFmtId="3" fontId="17" fillId="0" borderId="0" xfId="10" applyNumberFormat="1" applyFont="1"/>
    <xf numFmtId="5" fontId="17" fillId="0" borderId="0" xfId="10" applyNumberFormat="1" applyFont="1"/>
    <xf numFmtId="39" fontId="17" fillId="0" borderId="0" xfId="10" applyNumberFormat="1" applyFont="1"/>
    <xf numFmtId="39" fontId="17" fillId="0" borderId="1" xfId="10" applyNumberFormat="1" applyFont="1" applyFill="1" applyBorder="1" applyProtection="1"/>
    <xf numFmtId="0" fontId="52" fillId="0" borderId="0" xfId="10" applyFont="1" applyProtection="1"/>
    <xf numFmtId="44" fontId="17" fillId="0" borderId="0" xfId="10" applyNumberFormat="1" applyFont="1" applyProtection="1"/>
    <xf numFmtId="0" fontId="17" fillId="0" borderId="0" xfId="10" quotePrefix="1" applyFont="1"/>
    <xf numFmtId="39" fontId="17" fillId="0" borderId="0" xfId="10" applyNumberFormat="1" applyFont="1" applyProtection="1"/>
    <xf numFmtId="37" fontId="19" fillId="0" borderId="0" xfId="10" applyNumberFormat="1" applyFont="1" applyFill="1" applyProtection="1"/>
    <xf numFmtId="7" fontId="17" fillId="0" borderId="0" xfId="10" applyNumberFormat="1" applyFont="1" applyProtection="1"/>
    <xf numFmtId="0" fontId="17" fillId="0" borderId="0" xfId="10" applyFont="1" applyAlignment="1" applyProtection="1">
      <alignment horizontal="right"/>
    </xf>
    <xf numFmtId="166" fontId="17" fillId="0" borderId="0" xfId="10" applyNumberFormat="1" applyFont="1" applyProtection="1"/>
    <xf numFmtId="7" fontId="17" fillId="0" borderId="11" xfId="11" quotePrefix="1" applyNumberFormat="1" applyFont="1" applyFill="1" applyBorder="1"/>
    <xf numFmtId="7" fontId="53" fillId="0" borderId="0" xfId="10" applyNumberFormat="1" applyFont="1" applyProtection="1"/>
    <xf numFmtId="39" fontId="17" fillId="0" borderId="0" xfId="10" quotePrefix="1" applyNumberFormat="1" applyFont="1" applyAlignment="1" applyProtection="1">
      <alignment horizontal="left"/>
    </xf>
    <xf numFmtId="39" fontId="52" fillId="0" borderId="0" xfId="10" applyNumberFormat="1" applyFont="1" applyBorder="1" applyProtection="1"/>
    <xf numFmtId="39" fontId="52" fillId="0" borderId="0" xfId="10" applyNumberFormat="1" applyFont="1" applyBorder="1" applyAlignment="1" applyProtection="1">
      <alignment horizontal="right"/>
      <protection locked="0"/>
    </xf>
    <xf numFmtId="39" fontId="52" fillId="0" borderId="1" xfId="10" applyNumberFormat="1" applyFont="1" applyBorder="1" applyAlignment="1" applyProtection="1">
      <alignment horizontal="right"/>
      <protection locked="0"/>
    </xf>
    <xf numFmtId="14" fontId="17" fillId="0" borderId="0" xfId="10" applyNumberFormat="1" applyFont="1" applyAlignment="1" applyProtection="1">
      <alignment horizontal="center"/>
    </xf>
    <xf numFmtId="39" fontId="17" fillId="0" borderId="0" xfId="10" applyNumberFormat="1" applyFont="1" applyAlignment="1" applyProtection="1">
      <alignment horizontal="left"/>
    </xf>
    <xf numFmtId="7" fontId="17" fillId="0" borderId="0" xfId="10" quotePrefix="1" applyNumberFormat="1" applyFont="1" applyAlignment="1" applyProtection="1">
      <alignment horizontal="center"/>
      <protection locked="0"/>
    </xf>
    <xf numFmtId="186" fontId="17" fillId="0" borderId="0" xfId="10" applyNumberFormat="1" applyFont="1" applyAlignment="1" applyProtection="1">
      <alignment horizontal="center"/>
    </xf>
    <xf numFmtId="7" fontId="17" fillId="0" borderId="0" xfId="10" applyNumberFormat="1" applyFont="1" applyProtection="1">
      <protection locked="0"/>
    </xf>
    <xf numFmtId="7" fontId="17" fillId="0" borderId="0" xfId="10" applyNumberFormat="1" applyFont="1" applyAlignment="1" applyProtection="1">
      <alignment horizontal="center"/>
      <protection locked="0"/>
    </xf>
    <xf numFmtId="0" fontId="17" fillId="0" borderId="0" xfId="10" applyFont="1" applyAlignment="1" applyProtection="1"/>
    <xf numFmtId="39" fontId="17" fillId="0" borderId="0" xfId="10" applyNumberFormat="1" applyFont="1" applyAlignment="1" applyProtection="1"/>
    <xf numFmtId="194" fontId="17" fillId="0" borderId="0" xfId="10" applyNumberFormat="1" applyFont="1" applyAlignment="1" applyProtection="1"/>
    <xf numFmtId="0" fontId="51" fillId="0" borderId="0" xfId="10" applyFont="1" applyAlignment="1" applyProtection="1"/>
    <xf numFmtId="43" fontId="17" fillId="0" borderId="0" xfId="12" applyFont="1"/>
    <xf numFmtId="181" fontId="17" fillId="0" borderId="0" xfId="10" applyNumberFormat="1" applyFont="1"/>
    <xf numFmtId="0" fontId="55" fillId="0" borderId="0" xfId="10" applyFont="1" applyProtection="1"/>
    <xf numFmtId="195" fontId="17" fillId="0" borderId="0" xfId="10" applyNumberFormat="1" applyFont="1" applyProtection="1"/>
    <xf numFmtId="43" fontId="17" fillId="0" borderId="0" xfId="10" applyNumberFormat="1" applyFont="1" applyProtection="1"/>
    <xf numFmtId="0" fontId="50" fillId="0" borderId="0" xfId="10"/>
    <xf numFmtId="181" fontId="17" fillId="0" borderId="9" xfId="12" applyNumberFormat="1" applyFont="1" applyBorder="1" applyProtection="1"/>
    <xf numFmtId="181" fontId="17" fillId="0" borderId="0" xfId="12" applyNumberFormat="1" applyFont="1" applyBorder="1" applyProtection="1"/>
    <xf numFmtId="181" fontId="17" fillId="0" borderId="9" xfId="12" applyNumberFormat="1" applyFont="1" applyFill="1" applyBorder="1" applyProtection="1"/>
    <xf numFmtId="0" fontId="17" fillId="0" borderId="0" xfId="10" applyFont="1" applyFill="1" applyProtection="1"/>
    <xf numFmtId="0" fontId="17" fillId="0" borderId="0" xfId="10" applyFont="1" applyAlignment="1">
      <alignment horizontal="center"/>
    </xf>
    <xf numFmtId="37" fontId="17" fillId="0" borderId="1" xfId="10" applyNumberFormat="1" applyFont="1" applyBorder="1" applyProtection="1">
      <protection locked="0"/>
    </xf>
    <xf numFmtId="0" fontId="17" fillId="0" borderId="0" xfId="10" applyFont="1" applyProtection="1">
      <protection locked="0"/>
    </xf>
    <xf numFmtId="37" fontId="17" fillId="0" borderId="0" xfId="10" applyNumberFormat="1" applyFont="1" applyProtection="1">
      <protection locked="0"/>
    </xf>
    <xf numFmtId="37" fontId="19" fillId="0" borderId="0" xfId="10" applyNumberFormat="1" applyFont="1" applyFill="1" applyProtection="1">
      <protection locked="0"/>
    </xf>
    <xf numFmtId="196" fontId="3" fillId="0" borderId="0" xfId="13" applyNumberFormat="1" applyBorder="1"/>
    <xf numFmtId="0" fontId="3" fillId="0" borderId="0" xfId="13" applyBorder="1"/>
    <xf numFmtId="37" fontId="17" fillId="0" borderId="0" xfId="10" applyNumberFormat="1" applyFont="1" applyBorder="1" applyProtection="1">
      <protection locked="0"/>
    </xf>
    <xf numFmtId="37" fontId="17" fillId="0" borderId="0" xfId="10" applyNumberFormat="1" applyFont="1" applyBorder="1" applyProtection="1"/>
    <xf numFmtId="0" fontId="17" fillId="0" borderId="0" xfId="10" applyFont="1" applyBorder="1" applyProtection="1">
      <protection locked="0"/>
    </xf>
    <xf numFmtId="37" fontId="17" fillId="0" borderId="0" xfId="10" applyNumberFormat="1" applyFont="1" applyBorder="1" applyAlignment="1" applyProtection="1">
      <alignment horizontal="center"/>
    </xf>
    <xf numFmtId="186" fontId="17" fillId="0" borderId="1" xfId="10" applyNumberFormat="1" applyFont="1" applyBorder="1" applyAlignment="1" applyProtection="1">
      <alignment horizontal="center"/>
    </xf>
    <xf numFmtId="0" fontId="17" fillId="0" borderId="1" xfId="10" applyFont="1" applyBorder="1" applyProtection="1"/>
    <xf numFmtId="0" fontId="17" fillId="0" borderId="1" xfId="10" applyFont="1" applyBorder="1" applyAlignment="1" applyProtection="1">
      <alignment horizontal="center"/>
    </xf>
    <xf numFmtId="37" fontId="17" fillId="0" borderId="0" xfId="10" applyNumberFormat="1" applyFont="1" applyAlignment="1" applyProtection="1">
      <alignment horizontal="center"/>
    </xf>
    <xf numFmtId="0" fontId="17" fillId="0" borderId="1" xfId="10" applyFont="1" applyBorder="1" applyAlignment="1" applyProtection="1">
      <alignment horizontal="centerContinuous"/>
    </xf>
    <xf numFmtId="186" fontId="17" fillId="0" borderId="0" xfId="10" applyNumberFormat="1" applyFont="1" applyBorder="1" applyAlignment="1" applyProtection="1">
      <alignment horizontal="center"/>
    </xf>
    <xf numFmtId="0" fontId="17" fillId="0" borderId="0" xfId="10" applyFont="1" applyAlignment="1" applyProtection="1">
      <alignment horizontal="left"/>
    </xf>
    <xf numFmtId="0" fontId="51" fillId="0" borderId="0" xfId="10" applyFont="1" applyAlignment="1" applyProtection="1">
      <alignment horizontal="left"/>
    </xf>
    <xf numFmtId="39" fontId="17" fillId="0" borderId="0" xfId="10" applyNumberFormat="1" applyFont="1" applyProtection="1">
      <protection locked="0"/>
    </xf>
    <xf numFmtId="37" fontId="17" fillId="0" borderId="0" xfId="10" applyNumberFormat="1" applyFont="1"/>
    <xf numFmtId="0" fontId="17" fillId="0" borderId="0" xfId="10" quotePrefix="1" applyFont="1" applyProtection="1"/>
    <xf numFmtId="40" fontId="17" fillId="0" borderId="0" xfId="10" applyNumberFormat="1" applyFont="1" applyProtection="1"/>
    <xf numFmtId="39" fontId="50" fillId="0" borderId="0" xfId="10" applyNumberFormat="1"/>
    <xf numFmtId="39" fontId="17" fillId="0" borderId="9" xfId="10" applyNumberFormat="1" applyFont="1" applyFill="1" applyBorder="1" applyProtection="1"/>
    <xf numFmtId="181" fontId="17" fillId="0" borderId="0" xfId="12" applyNumberFormat="1" applyFont="1"/>
    <xf numFmtId="37" fontId="17" fillId="0" borderId="0" xfId="12" applyNumberFormat="1" applyFont="1"/>
    <xf numFmtId="43" fontId="50" fillId="0" borderId="0" xfId="10" applyNumberFormat="1" applyBorder="1"/>
    <xf numFmtId="0" fontId="50" fillId="0" borderId="0" xfId="10" applyBorder="1"/>
    <xf numFmtId="0" fontId="19" fillId="0" borderId="0" xfId="10" applyFont="1" applyFill="1" applyProtection="1"/>
    <xf numFmtId="37" fontId="17" fillId="0" borderId="0" xfId="10" applyNumberFormat="1" applyFont="1" applyFill="1" applyProtection="1"/>
    <xf numFmtId="39" fontId="17" fillId="0" borderId="0" xfId="10" applyNumberFormat="1" applyFont="1" applyFill="1" applyProtection="1"/>
    <xf numFmtId="37" fontId="19" fillId="0" borderId="1" xfId="10" applyNumberFormat="1" applyFont="1" applyFill="1" applyBorder="1" applyProtection="1">
      <protection locked="0"/>
    </xf>
    <xf numFmtId="0" fontId="3" fillId="0" borderId="0" xfId="14" applyNumberFormat="1" applyBorder="1"/>
    <xf numFmtId="0" fontId="3" fillId="0" borderId="0" xfId="14" applyBorder="1"/>
    <xf numFmtId="8" fontId="17" fillId="0" borderId="0" xfId="10" applyNumberFormat="1" applyFont="1"/>
    <xf numFmtId="197" fontId="17" fillId="0" borderId="0" xfId="10" applyNumberFormat="1" applyFont="1" applyProtection="1"/>
    <xf numFmtId="165" fontId="17" fillId="0" borderId="0" xfId="10" applyNumberFormat="1" applyFont="1" applyProtection="1"/>
    <xf numFmtId="197" fontId="17" fillId="0" borderId="0" xfId="10" applyNumberFormat="1" applyFont="1" applyProtection="1">
      <protection locked="0"/>
    </xf>
    <xf numFmtId="14" fontId="17" fillId="0" borderId="0" xfId="10" applyNumberFormat="1" applyFont="1" applyProtection="1"/>
    <xf numFmtId="0" fontId="51" fillId="0" borderId="0" xfId="10" applyFont="1"/>
    <xf numFmtId="8" fontId="17" fillId="0" borderId="10" xfId="10" applyNumberFormat="1" applyFont="1" applyBorder="1"/>
    <xf numFmtId="7" fontId="17" fillId="0" borderId="10" xfId="10" applyNumberFormat="1" applyFont="1" applyBorder="1" applyProtection="1"/>
    <xf numFmtId="7" fontId="17" fillId="0" borderId="0" xfId="10" applyNumberFormat="1" applyFont="1" applyBorder="1" applyProtection="1"/>
    <xf numFmtId="197" fontId="50" fillId="0" borderId="0" xfId="10" applyNumberFormat="1"/>
    <xf numFmtId="39" fontId="17" fillId="0" borderId="0" xfId="10" applyNumberFormat="1" applyFont="1" applyBorder="1" applyProtection="1"/>
    <xf numFmtId="186" fontId="17" fillId="0" borderId="0" xfId="10" applyNumberFormat="1" applyFont="1" applyAlignment="1" applyProtection="1">
      <alignment horizontal="left"/>
    </xf>
    <xf numFmtId="0" fontId="17" fillId="0" borderId="0" xfId="10" applyFont="1" applyFill="1"/>
    <xf numFmtId="39" fontId="19" fillId="0" borderId="1" xfId="10" applyNumberFormat="1" applyFont="1" applyFill="1" applyBorder="1" applyProtection="1"/>
    <xf numFmtId="198" fontId="17" fillId="0" borderId="0" xfId="10" applyNumberFormat="1" applyFont="1"/>
    <xf numFmtId="165" fontId="17" fillId="0" borderId="0" xfId="10" applyNumberFormat="1" applyFont="1"/>
    <xf numFmtId="186" fontId="17" fillId="0" borderId="0" xfId="10" quotePrefix="1" applyNumberFormat="1" applyFont="1" applyAlignment="1" applyProtection="1">
      <alignment horizontal="left"/>
    </xf>
    <xf numFmtId="8" fontId="17" fillId="0" borderId="0" xfId="10" applyNumberFormat="1" applyFont="1" applyProtection="1"/>
    <xf numFmtId="8" fontId="17" fillId="0" borderId="0" xfId="10" applyNumberFormat="1" applyFont="1" applyAlignment="1" applyProtection="1">
      <alignment horizontal="center"/>
    </xf>
    <xf numFmtId="165" fontId="17" fillId="0" borderId="0" xfId="10" applyNumberFormat="1" applyFont="1" applyBorder="1" applyProtection="1"/>
    <xf numFmtId="37" fontId="17" fillId="0" borderId="1" xfId="10" applyNumberFormat="1" applyFont="1" applyBorder="1" applyProtection="1"/>
    <xf numFmtId="0" fontId="17" fillId="0" borderId="0" xfId="10" applyFont="1" applyBorder="1" applyAlignment="1" applyProtection="1">
      <alignment horizontal="centerContinuous"/>
    </xf>
    <xf numFmtId="14" fontId="17" fillId="0" borderId="1" xfId="10" applyNumberFormat="1" applyFont="1" applyBorder="1" applyAlignment="1" applyProtection="1">
      <alignment horizontal="centerContinuous"/>
    </xf>
    <xf numFmtId="176" fontId="17" fillId="0" borderId="0" xfId="10" applyNumberFormat="1" applyFont="1" applyProtection="1"/>
    <xf numFmtId="7" fontId="17" fillId="0" borderId="0" xfId="10" applyNumberFormat="1" applyFont="1" applyFill="1" applyProtection="1"/>
    <xf numFmtId="37" fontId="19" fillId="0" borderId="1" xfId="10" applyNumberFormat="1" applyFont="1" applyFill="1" applyBorder="1" applyProtection="1"/>
    <xf numFmtId="39" fontId="19" fillId="0" borderId="0" xfId="10" applyNumberFormat="1" applyFont="1" applyFill="1" applyProtection="1"/>
    <xf numFmtId="165" fontId="19" fillId="0" borderId="0" xfId="10" applyNumberFormat="1" applyFont="1" applyFill="1" applyProtection="1"/>
    <xf numFmtId="165" fontId="17" fillId="0" borderId="0" xfId="10" applyNumberFormat="1" applyFont="1" applyFill="1" applyProtection="1"/>
    <xf numFmtId="2" fontId="19" fillId="0" borderId="1" xfId="10" applyNumberFormat="1" applyFont="1" applyFill="1" applyBorder="1" applyProtection="1"/>
    <xf numFmtId="39" fontId="19" fillId="0" borderId="0" xfId="10" quotePrefix="1" applyNumberFormat="1" applyFont="1" applyFill="1" applyProtection="1"/>
    <xf numFmtId="0" fontId="19" fillId="0" borderId="0" xfId="10" applyFont="1" applyFill="1" applyBorder="1" applyProtection="1"/>
    <xf numFmtId="0" fontId="17" fillId="0" borderId="0" xfId="10" applyFont="1" applyAlignment="1" applyProtection="1">
      <alignment horizontal="centerContinuous"/>
    </xf>
    <xf numFmtId="186" fontId="17" fillId="0" borderId="1" xfId="10" applyNumberFormat="1" applyFont="1" applyBorder="1" applyAlignment="1" applyProtection="1">
      <alignment horizontal="centerContinuous"/>
    </xf>
    <xf numFmtId="0" fontId="3" fillId="0" borderId="0" xfId="15" applyFont="1"/>
    <xf numFmtId="7" fontId="3" fillId="0" borderId="0" xfId="15" applyNumberFormat="1" applyFont="1"/>
    <xf numFmtId="0" fontId="3" fillId="0" borderId="0" xfId="15" applyFont="1" applyAlignment="1">
      <alignment horizontal="center"/>
    </xf>
    <xf numFmtId="0" fontId="33" fillId="0" borderId="0" xfId="16" applyFont="1" applyFill="1" applyBorder="1" applyAlignment="1">
      <alignment horizontal="center" wrapText="1"/>
    </xf>
    <xf numFmtId="0" fontId="58" fillId="0" borderId="0" xfId="16" applyFont="1" applyFill="1" applyBorder="1" applyAlignment="1">
      <alignment horizontal="center" wrapText="1"/>
    </xf>
    <xf numFmtId="0" fontId="3" fillId="0" borderId="0" xfId="15" applyFont="1" applyBorder="1"/>
    <xf numFmtId="0" fontId="17" fillId="0" borderId="0" xfId="15" applyFont="1"/>
    <xf numFmtId="0" fontId="51" fillId="0" borderId="0" xfId="15" applyFont="1"/>
    <xf numFmtId="0" fontId="3" fillId="0" borderId="0" xfId="10" applyFont="1"/>
    <xf numFmtId="174" fontId="3" fillId="0" borderId="0" xfId="10" applyNumberFormat="1" applyFont="1"/>
    <xf numFmtId="40" fontId="3" fillId="0" borderId="0" xfId="10" applyNumberFormat="1" applyFont="1"/>
    <xf numFmtId="0" fontId="3" fillId="2" borderId="0" xfId="10" applyFont="1" applyFill="1"/>
    <xf numFmtId="174" fontId="6" fillId="2" borderId="0" xfId="10" applyNumberFormat="1" applyFont="1" applyFill="1"/>
    <xf numFmtId="40" fontId="3" fillId="0" borderId="10" xfId="10" applyNumberFormat="1" applyFont="1" applyBorder="1"/>
    <xf numFmtId="174" fontId="3" fillId="0" borderId="0" xfId="10" applyNumberFormat="1" applyFont="1" applyAlignment="1">
      <alignment horizontal="center"/>
    </xf>
    <xf numFmtId="0" fontId="3" fillId="0" borderId="1" xfId="10" applyFont="1" applyBorder="1" applyAlignment="1">
      <alignment horizontal="center"/>
    </xf>
    <xf numFmtId="174" fontId="3" fillId="0" borderId="1" xfId="10" applyNumberFormat="1" applyFont="1" applyBorder="1" applyAlignment="1">
      <alignment horizontal="center"/>
    </xf>
    <xf numFmtId="0" fontId="3" fillId="0" borderId="0" xfId="1" applyFont="1"/>
    <xf numFmtId="0" fontId="3" fillId="0" borderId="1" xfId="1" applyFont="1" applyBorder="1" applyAlignment="1">
      <alignment horizontal="center"/>
    </xf>
    <xf numFmtId="164" fontId="38" fillId="0" borderId="0" xfId="17" applyFont="1"/>
    <xf numFmtId="172" fontId="38" fillId="0" borderId="0" xfId="17" applyNumberFormat="1" applyFont="1"/>
    <xf numFmtId="164" fontId="36" fillId="0" borderId="0" xfId="17" applyFont="1"/>
    <xf numFmtId="43" fontId="38" fillId="0" borderId="0" xfId="2" applyFont="1"/>
    <xf numFmtId="44" fontId="38" fillId="0" borderId="9" xfId="4" applyFont="1" applyBorder="1"/>
    <xf numFmtId="43" fontId="38" fillId="0" borderId="1" xfId="2" applyFont="1" applyBorder="1"/>
    <xf numFmtId="164" fontId="59" fillId="0" borderId="0" xfId="17" applyFont="1"/>
    <xf numFmtId="43" fontId="43" fillId="0" borderId="0" xfId="2" applyFont="1"/>
    <xf numFmtId="44" fontId="38" fillId="0" borderId="0" xfId="4" applyFont="1"/>
    <xf numFmtId="44" fontId="38" fillId="0" borderId="0" xfId="4" applyFont="1" applyBorder="1"/>
    <xf numFmtId="44" fontId="38" fillId="0" borderId="10" xfId="4" applyFont="1" applyBorder="1"/>
    <xf numFmtId="164" fontId="5" fillId="0" borderId="0" xfId="17"/>
    <xf numFmtId="164" fontId="38" fillId="0" borderId="0" xfId="17" applyFont="1" applyAlignment="1">
      <alignment horizontal="centerContinuous"/>
    </xf>
    <xf numFmtId="164" fontId="60" fillId="0" borderId="0" xfId="17" applyFont="1" applyAlignment="1">
      <alignment horizontal="centerContinuous"/>
    </xf>
    <xf numFmtId="164" fontId="5" fillId="0" borderId="0" xfId="18"/>
    <xf numFmtId="39" fontId="5" fillId="0" borderId="0" xfId="18" applyNumberFormat="1"/>
    <xf numFmtId="165" fontId="5" fillId="0" borderId="0" xfId="18" applyNumberFormat="1"/>
    <xf numFmtId="174" fontId="5" fillId="0" borderId="0" xfId="18" applyNumberFormat="1"/>
    <xf numFmtId="164" fontId="17" fillId="0" borderId="0" xfId="18" applyFont="1" applyAlignment="1">
      <alignment horizontal="center"/>
    </xf>
    <xf numFmtId="164" fontId="51" fillId="0" borderId="16" xfId="18" quotePrefix="1" applyFont="1" applyBorder="1"/>
    <xf numFmtId="164" fontId="51" fillId="0" borderId="0" xfId="18" quotePrefix="1" applyFont="1" applyBorder="1"/>
    <xf numFmtId="164" fontId="17" fillId="0" borderId="0" xfId="18" quotePrefix="1" applyFont="1"/>
    <xf numFmtId="5" fontId="17" fillId="0" borderId="0" xfId="18" applyNumberFormat="1" applyFont="1"/>
    <xf numFmtId="164" fontId="17" fillId="0" borderId="0" xfId="18" applyFont="1" applyBorder="1"/>
    <xf numFmtId="164" fontId="51" fillId="0" borderId="0" xfId="18" applyFont="1" applyBorder="1"/>
    <xf numFmtId="164" fontId="17" fillId="0" borderId="1" xfId="18" applyFont="1" applyBorder="1"/>
    <xf numFmtId="164" fontId="51" fillId="0" borderId="1" xfId="18" applyFont="1" applyBorder="1"/>
    <xf numFmtId="164" fontId="61" fillId="0" borderId="0" xfId="18" applyFont="1"/>
    <xf numFmtId="37" fontId="17" fillId="0" borderId="1" xfId="18" applyNumberFormat="1" applyFont="1" applyBorder="1"/>
    <xf numFmtId="164" fontId="51" fillId="0" borderId="1" xfId="18" applyFont="1" applyBorder="1" applyAlignment="1">
      <alignment horizontal="center"/>
    </xf>
    <xf numFmtId="164" fontId="51" fillId="0" borderId="0" xfId="18" quotePrefix="1" applyFont="1" applyAlignment="1">
      <alignment horizontal="center"/>
    </xf>
    <xf numFmtId="164" fontId="22" fillId="0" borderId="12" xfId="18" applyFont="1" applyBorder="1" applyAlignment="1" applyProtection="1">
      <alignment horizontal="center"/>
    </xf>
    <xf numFmtId="164" fontId="22" fillId="0" borderId="12" xfId="18" applyFont="1" applyBorder="1" applyProtection="1"/>
    <xf numFmtId="164" fontId="22" fillId="0" borderId="12" xfId="18" applyFont="1" applyBorder="1" applyAlignment="1" applyProtection="1"/>
    <xf numFmtId="164" fontId="22" fillId="0" borderId="0" xfId="18" applyFont="1" applyProtection="1"/>
    <xf numFmtId="164" fontId="22" fillId="0" borderId="0" xfId="18" applyFont="1" applyAlignment="1" applyProtection="1">
      <alignment horizontal="center"/>
    </xf>
    <xf numFmtId="164" fontId="51" fillId="0" borderId="0" xfId="18" applyFont="1"/>
    <xf numFmtId="164" fontId="62" fillId="0" borderId="0" xfId="18" applyFont="1" applyAlignment="1" applyProtection="1">
      <alignment horizontal="left"/>
    </xf>
    <xf numFmtId="164" fontId="18" fillId="0" borderId="0" xfId="18" applyFont="1" applyProtection="1"/>
    <xf numFmtId="164" fontId="18" fillId="0" borderId="0" xfId="18" applyFont="1" applyAlignment="1" applyProtection="1">
      <alignment horizontal="centerContinuous"/>
    </xf>
    <xf numFmtId="164" fontId="18" fillId="0" borderId="0" xfId="18" applyFont="1" applyAlignment="1" applyProtection="1">
      <alignment horizontal="left"/>
    </xf>
    <xf numFmtId="164" fontId="22" fillId="0" borderId="0" xfId="18" applyFont="1" applyAlignment="1" applyProtection="1">
      <alignment horizontal="left"/>
    </xf>
    <xf numFmtId="0" fontId="3" fillId="0" borderId="0" xfId="1" applyFont="1" applyAlignment="1">
      <alignment horizontal="center"/>
    </xf>
    <xf numFmtId="0" fontId="3" fillId="0" borderId="0" xfId="1" applyFont="1" applyBorder="1" applyAlignment="1">
      <alignment horizontal="center"/>
    </xf>
    <xf numFmtId="14" fontId="16" fillId="0" borderId="6" xfId="1" applyNumberFormat="1" applyFont="1" applyBorder="1" applyAlignment="1">
      <alignment horizontal="center"/>
    </xf>
    <xf numFmtId="14" fontId="3" fillId="0" borderId="0" xfId="1" applyNumberFormat="1" applyFont="1" applyAlignment="1">
      <alignment horizontal="center"/>
    </xf>
    <xf numFmtId="174" fontId="3" fillId="0" borderId="7" xfId="1" applyNumberFormat="1" applyFont="1" applyBorder="1" applyAlignment="1">
      <alignment horizontal="center"/>
    </xf>
    <xf numFmtId="174" fontId="16" fillId="0" borderId="6" xfId="1" applyNumberFormat="1" applyFont="1" applyBorder="1" applyAlignment="1">
      <alignment horizontal="center"/>
    </xf>
    <xf numFmtId="174" fontId="3" fillId="0" borderId="0" xfId="1" applyNumberFormat="1" applyFont="1" applyBorder="1" applyAlignment="1">
      <alignment horizontal="center"/>
    </xf>
    <xf numFmtId="174" fontId="16" fillId="0" borderId="4" xfId="1" applyNumberFormat="1" applyFont="1" applyBorder="1" applyAlignment="1">
      <alignment horizontal="center"/>
    </xf>
    <xf numFmtId="174" fontId="3" fillId="0" borderId="1" xfId="1" applyNumberFormat="1" applyFont="1" applyBorder="1" applyAlignment="1">
      <alignment horizontal="center"/>
    </xf>
    <xf numFmtId="174" fontId="16" fillId="0" borderId="2" xfId="1" applyNumberFormat="1" applyFont="1" applyBorder="1" applyAlignment="1">
      <alignment horizontal="center"/>
    </xf>
    <xf numFmtId="174" fontId="3" fillId="0" borderId="0" xfId="1" applyNumberFormat="1" applyFont="1" applyAlignment="1">
      <alignment horizontal="center"/>
    </xf>
    <xf numFmtId="174" fontId="16" fillId="0" borderId="0" xfId="1" applyNumberFormat="1" applyFont="1" applyAlignment="1">
      <alignment horizontal="center"/>
    </xf>
    <xf numFmtId="0" fontId="7" fillId="0" borderId="8" xfId="1" applyFont="1" applyBorder="1" applyAlignment="1">
      <alignment horizontal="left"/>
    </xf>
    <xf numFmtId="0" fontId="7" fillId="0" borderId="3" xfId="1" applyFont="1" applyBorder="1" applyAlignment="1">
      <alignment horizontal="left"/>
    </xf>
    <xf numFmtId="0" fontId="7" fillId="0" borderId="0" xfId="1" applyFont="1" applyAlignment="1">
      <alignment horizontal="left"/>
    </xf>
    <xf numFmtId="0" fontId="64" fillId="0" borderId="0" xfId="0" applyFont="1"/>
    <xf numFmtId="0" fontId="65" fillId="0" borderId="0" xfId="0" applyFont="1" applyAlignment="1">
      <alignment horizontal="left"/>
    </xf>
    <xf numFmtId="0" fontId="65" fillId="0" borderId="0" xfId="0" applyFont="1"/>
    <xf numFmtId="49" fontId="17" fillId="0" borderId="0" xfId="10" applyNumberFormat="1" applyFont="1" applyAlignment="1" applyProtection="1"/>
    <xf numFmtId="0" fontId="64" fillId="0" borderId="0" xfId="0" applyFont="1" applyAlignment="1">
      <alignment horizontal="left"/>
    </xf>
    <xf numFmtId="49" fontId="16" fillId="0" borderId="6" xfId="1" applyNumberFormat="1" applyFont="1" applyBorder="1" applyAlignment="1">
      <alignment horizontal="center"/>
    </xf>
    <xf numFmtId="0" fontId="16" fillId="0" borderId="2" xfId="1" applyNumberFormat="1" applyFont="1" applyBorder="1" applyAlignment="1">
      <alignment horizontal="center"/>
    </xf>
    <xf numFmtId="0" fontId="3" fillId="0" borderId="1" xfId="1" applyNumberFormat="1" applyFont="1" applyBorder="1" applyAlignment="1">
      <alignment horizontal="center"/>
    </xf>
    <xf numFmtId="0" fontId="3" fillId="0" borderId="7" xfId="1" applyNumberFormat="1" applyFont="1" applyBorder="1" applyAlignment="1">
      <alignment horizontal="center"/>
    </xf>
    <xf numFmtId="14" fontId="3" fillId="0" borderId="7" xfId="1" applyNumberFormat="1" applyFont="1" applyBorder="1" applyAlignment="1">
      <alignment horizontal="center"/>
    </xf>
    <xf numFmtId="199" fontId="3" fillId="0" borderId="0" xfId="1" applyNumberFormat="1" applyFont="1"/>
    <xf numFmtId="0" fontId="17" fillId="0" borderId="0" xfId="10" applyFont="1" applyFill="1" applyAlignment="1" applyProtection="1">
      <alignment horizontal="center"/>
    </xf>
    <xf numFmtId="43" fontId="17" fillId="0" borderId="0" xfId="10" applyNumberFormat="1" applyFont="1"/>
    <xf numFmtId="37" fontId="19" fillId="0" borderId="0" xfId="10" applyNumberFormat="1" applyFont="1" applyFill="1" applyBorder="1" applyProtection="1">
      <protection locked="0"/>
    </xf>
    <xf numFmtId="8" fontId="10" fillId="0" borderId="0" xfId="21" applyNumberFormat="1" applyFont="1" applyAlignment="1">
      <alignment vertical="center"/>
    </xf>
    <xf numFmtId="43" fontId="50" fillId="0" borderId="0" xfId="20" applyFont="1"/>
    <xf numFmtId="39" fontId="17" fillId="0" borderId="0" xfId="10" applyNumberFormat="1" applyFont="1" applyFill="1" applyBorder="1" applyProtection="1"/>
    <xf numFmtId="7" fontId="69" fillId="0" borderId="0" xfId="10" applyNumberFormat="1" applyFont="1"/>
    <xf numFmtId="0" fontId="70" fillId="0" borderId="0" xfId="0" applyFont="1"/>
    <xf numFmtId="0" fontId="17" fillId="0" borderId="0" xfId="10" applyFont="1" applyFill="1" applyProtection="1">
      <protection locked="0"/>
    </xf>
    <xf numFmtId="0" fontId="19" fillId="0" borderId="0" xfId="10" applyFont="1" applyFill="1" applyProtection="1">
      <protection locked="0"/>
    </xf>
    <xf numFmtId="7" fontId="3" fillId="0" borderId="0" xfId="15" applyNumberFormat="1" applyFont="1" applyFill="1"/>
    <xf numFmtId="181" fontId="17" fillId="0" borderId="0" xfId="12" applyNumberFormat="1" applyFont="1" applyFill="1"/>
    <xf numFmtId="0" fontId="50" fillId="0" borderId="0" xfId="10" applyFill="1"/>
    <xf numFmtId="43" fontId="50" fillId="0" borderId="0" xfId="20" applyFont="1" applyFill="1"/>
    <xf numFmtId="0" fontId="43" fillId="0" borderId="0" xfId="7" quotePrefix="1" applyFont="1" applyAlignment="1" applyProtection="1"/>
    <xf numFmtId="40" fontId="72" fillId="0" borderId="0" xfId="36" applyNumberFormat="1">
      <alignment vertical="center"/>
    </xf>
    <xf numFmtId="43" fontId="17" fillId="0" borderId="0" xfId="20" applyFont="1" applyProtection="1"/>
    <xf numFmtId="7" fontId="50" fillId="0" borderId="0" xfId="10" applyNumberFormat="1"/>
    <xf numFmtId="40" fontId="72" fillId="0" borderId="0" xfId="36" applyNumberFormat="1">
      <alignment vertical="center"/>
    </xf>
    <xf numFmtId="40" fontId="72" fillId="0" borderId="0" xfId="36" applyNumberFormat="1">
      <alignment vertical="center"/>
    </xf>
    <xf numFmtId="40" fontId="72" fillId="0" borderId="0" xfId="36" applyNumberFormat="1">
      <alignment vertical="center"/>
    </xf>
    <xf numFmtId="40" fontId="72" fillId="0" borderId="0" xfId="36" applyNumberFormat="1">
      <alignment vertical="center"/>
    </xf>
    <xf numFmtId="40" fontId="72" fillId="0" borderId="0" xfId="36" applyNumberFormat="1">
      <alignment vertical="center"/>
    </xf>
    <xf numFmtId="190" fontId="17" fillId="0" borderId="0" xfId="10" applyNumberFormat="1" applyFont="1" applyProtection="1"/>
    <xf numFmtId="0" fontId="19" fillId="0" borderId="0" xfId="10" applyFont="1" applyFill="1" applyBorder="1" applyProtection="1">
      <protection locked="0"/>
    </xf>
    <xf numFmtId="181" fontId="16" fillId="0" borderId="0" xfId="7" applyNumberFormat="1" applyFont="1" applyFill="1"/>
    <xf numFmtId="181" fontId="16" fillId="0" borderId="1" xfId="2" applyNumberFormat="1" applyFont="1" applyFill="1" applyBorder="1"/>
    <xf numFmtId="0" fontId="9" fillId="0" borderId="1" xfId="7" applyFont="1" applyFill="1" applyBorder="1"/>
    <xf numFmtId="181" fontId="3" fillId="0" borderId="0" xfId="7" applyNumberFormat="1" applyFill="1"/>
    <xf numFmtId="37" fontId="17" fillId="0" borderId="10" xfId="7" applyNumberFormat="1" applyFont="1" applyFill="1" applyBorder="1" applyProtection="1">
      <protection locked="0"/>
    </xf>
    <xf numFmtId="0" fontId="18" fillId="0" borderId="13" xfId="7" applyFont="1" applyFill="1" applyBorder="1" applyProtection="1"/>
    <xf numFmtId="37" fontId="18" fillId="0" borderId="13" xfId="7" applyNumberFormat="1" applyFont="1" applyFill="1" applyBorder="1" applyProtection="1"/>
    <xf numFmtId="178" fontId="18" fillId="0" borderId="0" xfId="4" applyNumberFormat="1" applyFont="1" applyFill="1" applyBorder="1" applyAlignment="1" applyProtection="1">
      <alignment horizontal="right"/>
    </xf>
    <xf numFmtId="10" fontId="18" fillId="0" borderId="1" xfId="7" applyNumberFormat="1" applyFont="1" applyFill="1" applyBorder="1" applyProtection="1"/>
    <xf numFmtId="178" fontId="25" fillId="0" borderId="0" xfId="4" applyNumberFormat="1" applyFont="1" applyFill="1" applyBorder="1" applyAlignment="1" applyProtection="1">
      <alignment horizontal="right"/>
    </xf>
    <xf numFmtId="44" fontId="17" fillId="0" borderId="9" xfId="27" applyFont="1" applyBorder="1"/>
    <xf numFmtId="43" fontId="72" fillId="0" borderId="0" xfId="20" applyFont="1"/>
    <xf numFmtId="0" fontId="72" fillId="0" borderId="0" xfId="37"/>
    <xf numFmtId="43" fontId="17" fillId="0" borderId="0" xfId="20" applyFont="1"/>
    <xf numFmtId="164" fontId="17" fillId="0" borderId="0" xfId="18" applyFont="1"/>
    <xf numFmtId="200" fontId="38" fillId="0" borderId="0" xfId="20" applyNumberFormat="1" applyFont="1" applyProtection="1">
      <protection locked="0"/>
    </xf>
    <xf numFmtId="0" fontId="73" fillId="0" borderId="0" xfId="7" applyFont="1"/>
    <xf numFmtId="164" fontId="1" fillId="0" borderId="0" xfId="5" applyFont="1"/>
    <xf numFmtId="180" fontId="1" fillId="0" borderId="0" xfId="20" applyNumberFormat="1" applyFont="1"/>
    <xf numFmtId="0" fontId="74" fillId="0" borderId="0" xfId="0" applyFont="1"/>
    <xf numFmtId="0" fontId="0" fillId="0" borderId="0" xfId="0" applyFill="1"/>
    <xf numFmtId="0" fontId="0" fillId="0" borderId="0" xfId="0" applyAlignment="1">
      <alignment horizontal="center" vertical="center"/>
    </xf>
    <xf numFmtId="0" fontId="75" fillId="0" borderId="0" xfId="0" applyFont="1" applyAlignment="1">
      <alignment horizontal="center" vertical="center"/>
    </xf>
    <xf numFmtId="0" fontId="76" fillId="0" borderId="20" xfId="0" applyFont="1" applyBorder="1" applyAlignment="1">
      <alignment horizontal="center" vertical="center"/>
    </xf>
    <xf numFmtId="0" fontId="76"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horizontal="center" vertical="center"/>
    </xf>
    <xf numFmtId="0" fontId="0" fillId="0" borderId="0" xfId="0" applyFont="1"/>
    <xf numFmtId="0" fontId="0" fillId="0" borderId="0" xfId="0" applyFont="1" applyAlignment="1">
      <alignment horizontal="center" vertical="center"/>
    </xf>
    <xf numFmtId="0" fontId="0" fillId="0" borderId="19" xfId="0" applyBorder="1" applyAlignment="1">
      <alignment horizontal="center" vertical="center"/>
    </xf>
    <xf numFmtId="0" fontId="7" fillId="0" borderId="21" xfId="0" applyFont="1" applyBorder="1" applyAlignment="1">
      <alignment horizontal="left" vertical="center"/>
    </xf>
    <xf numFmtId="0" fontId="7" fillId="0" borderId="0" xfId="0" applyFont="1" applyBorder="1" applyAlignment="1">
      <alignment horizontal="left" vertical="center"/>
    </xf>
    <xf numFmtId="7" fontId="17" fillId="0" borderId="0" xfId="10" applyNumberFormat="1" applyFont="1" applyFill="1"/>
    <xf numFmtId="190" fontId="17" fillId="0" borderId="0" xfId="10" applyNumberFormat="1" applyFont="1" applyFill="1" applyProtection="1"/>
    <xf numFmtId="15" fontId="81" fillId="0" borderId="0" xfId="0" applyNumberFormat="1" applyFont="1" applyAlignment="1">
      <alignment horizontal="left" vertical="center"/>
    </xf>
    <xf numFmtId="0" fontId="0" fillId="0" borderId="0" xfId="0" applyAlignment="1">
      <alignment horizontal="left"/>
    </xf>
    <xf numFmtId="0" fontId="83" fillId="0" borderId="0" xfId="0" applyFont="1" applyAlignment="1">
      <alignment horizontal="left" vertical="center"/>
    </xf>
    <xf numFmtId="14" fontId="3" fillId="0" borderId="0" xfId="5" applyNumberFormat="1" applyFont="1"/>
    <xf numFmtId="14" fontId="3" fillId="0" borderId="0" xfId="5" applyNumberFormat="1" applyFont="1" applyAlignment="1">
      <alignment horizontal="center"/>
    </xf>
    <xf numFmtId="14" fontId="1" fillId="0" borderId="0" xfId="5" applyNumberFormat="1" applyFont="1" applyBorder="1"/>
    <xf numFmtId="14" fontId="3" fillId="2" borderId="0" xfId="5" applyNumberFormat="1" applyFont="1" applyFill="1"/>
    <xf numFmtId="164" fontId="1" fillId="0" borderId="0" xfId="1" applyNumberFormat="1" applyAlignment="1">
      <alignment vertical="top"/>
    </xf>
    <xf numFmtId="0" fontId="1" fillId="0" borderId="0" xfId="1" applyAlignment="1">
      <alignment vertical="top"/>
    </xf>
    <xf numFmtId="164" fontId="1" fillId="0" borderId="0" xfId="1" applyNumberFormat="1" applyBorder="1" applyAlignment="1">
      <alignment vertical="top"/>
    </xf>
    <xf numFmtId="164" fontId="1" fillId="0" borderId="0" xfId="1" applyNumberFormat="1" applyAlignment="1"/>
    <xf numFmtId="164" fontId="1" fillId="0" borderId="0" xfId="1" applyNumberFormat="1" applyBorder="1" applyAlignment="1"/>
    <xf numFmtId="0" fontId="1" fillId="0" borderId="0" xfId="1" applyAlignment="1"/>
    <xf numFmtId="164" fontId="10" fillId="0" borderId="0" xfId="1" applyNumberFormat="1" applyFont="1" applyAlignment="1"/>
    <xf numFmtId="169" fontId="1" fillId="0" borderId="0" xfId="1" applyNumberFormat="1" applyBorder="1" applyAlignment="1"/>
    <xf numFmtId="164" fontId="7" fillId="0" borderId="0" xfId="1" applyNumberFormat="1" applyFont="1" applyAlignment="1"/>
    <xf numFmtId="168" fontId="1" fillId="0" borderId="0" xfId="1" applyNumberFormat="1" applyAlignment="1"/>
    <xf numFmtId="0" fontId="80" fillId="0" borderId="1" xfId="0" applyFont="1" applyBorder="1" applyAlignment="1">
      <alignment horizontal="left"/>
    </xf>
    <xf numFmtId="0" fontId="80" fillId="0" borderId="1" xfId="0" applyFont="1" applyBorder="1" applyAlignment="1"/>
    <xf numFmtId="164" fontId="10" fillId="0" borderId="0" xfId="1" applyNumberFormat="1" applyFont="1" applyBorder="1"/>
    <xf numFmtId="164" fontId="10" fillId="0" borderId="0" xfId="1" applyNumberFormat="1" applyFont="1" applyBorder="1" applyAlignment="1"/>
    <xf numFmtId="164" fontId="10" fillId="0" borderId="0" xfId="1" applyNumberFormat="1" applyFont="1" applyBorder="1" applyAlignment="1">
      <alignment vertical="top"/>
    </xf>
    <xf numFmtId="164" fontId="10" fillId="0" borderId="0" xfId="1" quotePrefix="1" applyNumberFormat="1" applyFont="1" applyBorder="1" applyAlignment="1"/>
    <xf numFmtId="0" fontId="82" fillId="0" borderId="7" xfId="0" applyFont="1" applyBorder="1" applyAlignment="1">
      <alignment vertical="top"/>
    </xf>
    <xf numFmtId="0" fontId="1" fillId="0" borderId="8" xfId="1" applyBorder="1"/>
    <xf numFmtId="0" fontId="1" fillId="0" borderId="7" xfId="1" applyBorder="1"/>
    <xf numFmtId="0" fontId="1" fillId="0" borderId="6" xfId="1" applyBorder="1"/>
    <xf numFmtId="0" fontId="7" fillId="0" borderId="5" xfId="1" applyFont="1" applyBorder="1" applyAlignment="1">
      <alignment horizontal="left"/>
    </xf>
    <xf numFmtId="14" fontId="16" fillId="0" borderId="4" xfId="1" applyNumberFormat="1" applyFont="1" applyBorder="1" applyAlignment="1">
      <alignment horizontal="center"/>
    </xf>
    <xf numFmtId="0" fontId="1" fillId="0" borderId="3" xfId="1" applyFont="1" applyBorder="1"/>
    <xf numFmtId="14" fontId="3" fillId="0" borderId="1" xfId="1" applyNumberFormat="1" applyFont="1" applyBorder="1" applyAlignment="1">
      <alignment horizontal="center"/>
    </xf>
    <xf numFmtId="164" fontId="1" fillId="0" borderId="19" xfId="1" applyNumberFormat="1" applyBorder="1"/>
    <xf numFmtId="164" fontId="84" fillId="0" borderId="19" xfId="1" applyNumberFormat="1" applyFont="1" applyBorder="1" applyAlignment="1">
      <alignment horizontal="center" vertical="top"/>
    </xf>
    <xf numFmtId="164" fontId="1" fillId="0" borderId="24" xfId="1" applyNumberFormat="1" applyBorder="1"/>
    <xf numFmtId="164" fontId="10" fillId="0" borderId="19" xfId="1" applyNumberFormat="1" applyFont="1" applyBorder="1"/>
    <xf numFmtId="0" fontId="80" fillId="0" borderId="0" xfId="0" applyFont="1" applyBorder="1" applyAlignment="1"/>
    <xf numFmtId="0" fontId="1" fillId="0" borderId="0" xfId="1" applyBorder="1" applyAlignment="1">
      <alignment vertical="top"/>
    </xf>
    <xf numFmtId="0" fontId="36" fillId="0" borderId="0" xfId="1" applyFont="1" applyBorder="1" applyAlignment="1"/>
    <xf numFmtId="0" fontId="1" fillId="0" borderId="0" xfId="1" applyBorder="1" applyAlignment="1"/>
    <xf numFmtId="164" fontId="86" fillId="0" borderId="0" xfId="1" applyNumberFormat="1" applyFont="1" applyAlignment="1">
      <alignment horizontal="left"/>
    </xf>
    <xf numFmtId="164" fontId="73" fillId="0" borderId="0" xfId="1" applyNumberFormat="1" applyFont="1"/>
    <xf numFmtId="164" fontId="36" fillId="0" borderId="0" xfId="1" applyNumberFormat="1" applyFont="1"/>
    <xf numFmtId="164" fontId="85" fillId="0" borderId="0" xfId="1" applyNumberFormat="1" applyFont="1"/>
    <xf numFmtId="164" fontId="73" fillId="0" borderId="0" xfId="1" applyNumberFormat="1" applyFont="1" applyFill="1"/>
    <xf numFmtId="164" fontId="73" fillId="0" borderId="0" xfId="1" applyNumberFormat="1" applyFont="1" applyFill="1" applyBorder="1"/>
    <xf numFmtId="164" fontId="36" fillId="0" borderId="0" xfId="1" applyNumberFormat="1" applyFont="1" applyBorder="1"/>
    <xf numFmtId="164" fontId="73" fillId="0" borderId="19" xfId="1" applyNumberFormat="1" applyFont="1" applyFill="1" applyBorder="1" applyAlignment="1">
      <alignment horizontal="left"/>
    </xf>
    <xf numFmtId="164" fontId="73" fillId="0" borderId="19" xfId="1" applyNumberFormat="1" applyFont="1" applyFill="1" applyBorder="1"/>
    <xf numFmtId="164" fontId="36" fillId="0" borderId="19" xfId="1" applyNumberFormat="1" applyFont="1" applyBorder="1"/>
    <xf numFmtId="164" fontId="85" fillId="0" borderId="19" xfId="1" applyNumberFormat="1" applyFont="1" applyBorder="1"/>
    <xf numFmtId="0" fontId="82" fillId="0" borderId="0" xfId="0" applyFont="1" applyBorder="1" applyAlignment="1">
      <alignment vertical="top"/>
    </xf>
    <xf numFmtId="0" fontId="1" fillId="0" borderId="1" xfId="1" applyBorder="1" applyAlignment="1"/>
    <xf numFmtId="164" fontId="1" fillId="0" borderId="1" xfId="1" applyNumberFormat="1" applyBorder="1" applyAlignment="1"/>
    <xf numFmtId="15" fontId="80" fillId="0" borderId="0" xfId="0" applyNumberFormat="1" applyFont="1" applyBorder="1" applyAlignment="1"/>
    <xf numFmtId="168" fontId="3" fillId="0" borderId="0" xfId="1" quotePrefix="1" applyNumberFormat="1" applyFont="1" applyBorder="1" applyAlignment="1"/>
    <xf numFmtId="0" fontId="80" fillId="0" borderId="1" xfId="0" applyFont="1" applyBorder="1" applyAlignment="1">
      <alignment horizontal="left"/>
    </xf>
    <xf numFmtId="201" fontId="36" fillId="0" borderId="0" xfId="1" applyNumberFormat="1" applyFont="1" applyBorder="1" applyAlignment="1"/>
    <xf numFmtId="176" fontId="17" fillId="0" borderId="0" xfId="10" applyNumberFormat="1" applyFont="1" applyFill="1" applyProtection="1"/>
    <xf numFmtId="7" fontId="17" fillId="0" borderId="1" xfId="10" applyNumberFormat="1" applyFont="1" applyFill="1" applyBorder="1"/>
    <xf numFmtId="8" fontId="17" fillId="0" borderId="0" xfId="10" applyNumberFormat="1" applyFont="1" applyFill="1"/>
    <xf numFmtId="0" fontId="87" fillId="0" borderId="0" xfId="1" applyFont="1"/>
    <xf numFmtId="43" fontId="5" fillId="0" borderId="0" xfId="20" applyFont="1"/>
    <xf numFmtId="0" fontId="1" fillId="0" borderId="0" xfId="1" applyFont="1" applyFill="1"/>
    <xf numFmtId="199" fontId="0" fillId="0" borderId="0" xfId="0" applyNumberFormat="1"/>
    <xf numFmtId="167" fontId="18" fillId="0" borderId="10" xfId="7" applyNumberFormat="1" applyFont="1" applyFill="1" applyBorder="1" applyProtection="1"/>
    <xf numFmtId="9" fontId="1" fillId="0" borderId="0" xfId="47" applyFont="1"/>
    <xf numFmtId="9" fontId="0" fillId="0" borderId="0" xfId="47" applyFont="1"/>
    <xf numFmtId="180" fontId="17" fillId="0" borderId="0" xfId="20" applyNumberFormat="1" applyFont="1"/>
    <xf numFmtId="0" fontId="76" fillId="6" borderId="20" xfId="0" applyFont="1" applyFill="1" applyBorder="1" applyAlignment="1">
      <alignment horizontal="center" vertical="center"/>
    </xf>
    <xf numFmtId="49" fontId="0" fillId="0" borderId="0" xfId="20" applyNumberFormat="1" applyFont="1"/>
    <xf numFmtId="164" fontId="63" fillId="0" borderId="0" xfId="19" applyNumberFormat="1" applyAlignment="1" applyProtection="1"/>
    <xf numFmtId="10" fontId="5" fillId="0" borderId="0" xfId="28" applyNumberFormat="1" applyFont="1"/>
    <xf numFmtId="10" fontId="5" fillId="0" borderId="0" xfId="28" applyNumberFormat="1" applyFont="1" applyBorder="1"/>
    <xf numFmtId="10" fontId="5" fillId="0" borderId="1" xfId="28" applyNumberFormat="1" applyFont="1" applyBorder="1"/>
    <xf numFmtId="5" fontId="17" fillId="0" borderId="0" xfId="27" applyNumberFormat="1" applyFont="1"/>
    <xf numFmtId="37" fontId="17" fillId="0" borderId="0" xfId="26" applyNumberFormat="1" applyFont="1"/>
    <xf numFmtId="37" fontId="17" fillId="0" borderId="1" xfId="26" applyNumberFormat="1" applyFont="1" applyBorder="1"/>
    <xf numFmtId="37" fontId="17" fillId="0" borderId="0" xfId="26" applyNumberFormat="1" applyFont="1" applyBorder="1"/>
    <xf numFmtId="5" fontId="17" fillId="0" borderId="9" xfId="27" applyNumberFormat="1" applyFont="1" applyBorder="1"/>
    <xf numFmtId="5" fontId="17" fillId="0" borderId="0" xfId="27" applyNumberFormat="1" applyFont="1" applyBorder="1"/>
    <xf numFmtId="169" fontId="17" fillId="0" borderId="0" xfId="18" applyNumberFormat="1" applyFont="1" applyFill="1"/>
    <xf numFmtId="164" fontId="17" fillId="0" borderId="0" xfId="18" applyFont="1" applyFill="1"/>
    <xf numFmtId="166" fontId="17" fillId="0" borderId="0" xfId="27" applyNumberFormat="1" applyFont="1"/>
    <xf numFmtId="178" fontId="17" fillId="0" borderId="0" xfId="27" applyNumberFormat="1" applyFont="1"/>
    <xf numFmtId="166" fontId="51" fillId="0" borderId="17" xfId="27" applyNumberFormat="1" applyFont="1" applyBorder="1"/>
    <xf numFmtId="166" fontId="51" fillId="0" borderId="0" xfId="27" applyNumberFormat="1" applyFont="1" applyBorder="1"/>
    <xf numFmtId="178" fontId="51" fillId="0" borderId="17" xfId="27" applyNumberFormat="1" applyFont="1" applyBorder="1"/>
    <xf numFmtId="178" fontId="51" fillId="0" borderId="0" xfId="27" applyNumberFormat="1" applyFont="1" applyBorder="1"/>
    <xf numFmtId="164" fontId="38" fillId="0" borderId="0" xfId="17" applyFont="1" applyAlignment="1"/>
    <xf numFmtId="181" fontId="1" fillId="5" borderId="0" xfId="7" applyNumberFormat="1" applyFont="1" applyFill="1"/>
    <xf numFmtId="0" fontId="89" fillId="0" borderId="0" xfId="48" applyFont="1"/>
    <xf numFmtId="0" fontId="89" fillId="0" borderId="0" xfId="48" applyFont="1" applyAlignment="1">
      <alignment horizontal="center"/>
    </xf>
    <xf numFmtId="0" fontId="90" fillId="0" borderId="0" xfId="48" applyFont="1"/>
    <xf numFmtId="202" fontId="90" fillId="0" borderId="0" xfId="26" applyNumberFormat="1" applyFont="1"/>
    <xf numFmtId="203" fontId="90" fillId="0" borderId="0" xfId="48" applyNumberFormat="1" applyFont="1"/>
    <xf numFmtId="0" fontId="91" fillId="0" borderId="18" xfId="48" applyFont="1" applyBorder="1"/>
    <xf numFmtId="0" fontId="91" fillId="0" borderId="18" xfId="48" applyFont="1" applyFill="1" applyBorder="1" applyAlignment="1">
      <alignment horizontal="center"/>
    </xf>
    <xf numFmtId="0" fontId="91" fillId="0" borderId="0" xfId="48" applyFont="1" applyFill="1" applyBorder="1" applyAlignment="1">
      <alignment horizontal="center"/>
    </xf>
    <xf numFmtId="0" fontId="91" fillId="0" borderId="0" xfId="48" applyFont="1"/>
    <xf numFmtId="0" fontId="91" fillId="0" borderId="0" xfId="48" applyFont="1" applyAlignment="1">
      <alignment horizontal="center"/>
    </xf>
    <xf numFmtId="0" fontId="92" fillId="0" borderId="0" xfId="48" applyFont="1"/>
    <xf numFmtId="203" fontId="92" fillId="0" borderId="0" xfId="48" applyNumberFormat="1" applyFont="1"/>
    <xf numFmtId="202" fontId="92" fillId="0" borderId="0" xfId="26" applyNumberFormat="1" applyFont="1"/>
    <xf numFmtId="202" fontId="93" fillId="0" borderId="18" xfId="26" applyNumberFormat="1" applyFont="1" applyFill="1" applyBorder="1" applyAlignment="1">
      <alignment horizontal="center"/>
    </xf>
    <xf numFmtId="203" fontId="92" fillId="7" borderId="18" xfId="48" applyNumberFormat="1" applyFont="1" applyFill="1" applyBorder="1"/>
    <xf numFmtId="0" fontId="92" fillId="7" borderId="18" xfId="48" applyFont="1" applyFill="1" applyBorder="1"/>
    <xf numFmtId="0" fontId="91" fillId="0" borderId="28" xfId="48" applyFont="1" applyFill="1" applyBorder="1" applyAlignment="1">
      <alignment horizontal="center"/>
    </xf>
    <xf numFmtId="0" fontId="91" fillId="0" borderId="29" xfId="48" applyFont="1" applyFill="1" applyBorder="1" applyAlignment="1">
      <alignment horizontal="center"/>
    </xf>
    <xf numFmtId="0" fontId="91" fillId="0" borderId="30" xfId="48" applyFont="1" applyFill="1" applyBorder="1" applyAlignment="1">
      <alignment horizontal="center"/>
    </xf>
    <xf numFmtId="0" fontId="91" fillId="0" borderId="31" xfId="48" applyFont="1" applyFill="1" applyBorder="1" applyAlignment="1">
      <alignment horizontal="center"/>
    </xf>
    <xf numFmtId="0" fontId="93" fillId="0" borderId="32" xfId="48" applyFont="1" applyFill="1" applyBorder="1" applyAlignment="1">
      <alignment horizontal="center"/>
    </xf>
    <xf numFmtId="201" fontId="93" fillId="0" borderId="32" xfId="48" applyNumberFormat="1" applyFont="1" applyFill="1" applyBorder="1" applyAlignment="1">
      <alignment horizontal="center" wrapText="1"/>
    </xf>
    <xf numFmtId="0" fontId="93" fillId="0" borderId="33" xfId="48" applyFont="1" applyFill="1" applyBorder="1" applyAlignment="1">
      <alignment horizontal="center"/>
    </xf>
    <xf numFmtId="203" fontId="93" fillId="7" borderId="22" xfId="48" applyNumberFormat="1" applyFont="1" applyFill="1" applyBorder="1" applyAlignment="1">
      <alignment horizontal="center"/>
    </xf>
    <xf numFmtId="0" fontId="93" fillId="7" borderId="34" xfId="48" applyFont="1" applyFill="1" applyBorder="1" applyAlignment="1">
      <alignment horizontal="center"/>
    </xf>
    <xf numFmtId="0" fontId="93" fillId="7" borderId="21" xfId="48" applyFont="1" applyFill="1" applyBorder="1" applyAlignment="1">
      <alignment horizontal="center"/>
    </xf>
    <xf numFmtId="0" fontId="93" fillId="0" borderId="0" xfId="48" applyFont="1" applyAlignment="1">
      <alignment horizontal="center"/>
    </xf>
    <xf numFmtId="0" fontId="91" fillId="0" borderId="20" xfId="48" applyFont="1" applyFill="1" applyBorder="1" applyAlignment="1">
      <alignment horizontal="center" vertical="center"/>
    </xf>
    <xf numFmtId="0" fontId="91" fillId="0" borderId="23" xfId="48" applyFont="1" applyFill="1" applyBorder="1"/>
    <xf numFmtId="0" fontId="91" fillId="0" borderId="21" xfId="48" applyFont="1" applyFill="1" applyBorder="1"/>
    <xf numFmtId="0" fontId="94" fillId="0" borderId="21" xfId="48" applyFont="1" applyFill="1" applyBorder="1"/>
    <xf numFmtId="204" fontId="94" fillId="0" borderId="21" xfId="26" applyNumberFormat="1" applyFont="1" applyFill="1" applyBorder="1" applyAlignment="1">
      <alignment horizontal="center"/>
    </xf>
    <xf numFmtId="204" fontId="95" fillId="0" borderId="21" xfId="26" applyNumberFormat="1" applyFont="1" applyFill="1" applyBorder="1"/>
    <xf numFmtId="0" fontId="97" fillId="0" borderId="0" xfId="48" applyFont="1" applyFill="1" applyAlignment="1">
      <alignment horizontal="center" wrapText="1"/>
    </xf>
    <xf numFmtId="0" fontId="97" fillId="0" borderId="23" xfId="48" applyFont="1" applyFill="1" applyBorder="1"/>
    <xf numFmtId="0" fontId="98" fillId="0" borderId="23" xfId="48" applyFont="1" applyFill="1" applyBorder="1"/>
    <xf numFmtId="204" fontId="98" fillId="0" borderId="23" xfId="26" applyNumberFormat="1" applyFont="1" applyFill="1" applyBorder="1" applyAlignment="1">
      <alignment horizontal="center"/>
    </xf>
    <xf numFmtId="204" fontId="99" fillId="0" borderId="23" xfId="26" applyNumberFormat="1" applyFont="1" applyFill="1" applyBorder="1"/>
    <xf numFmtId="0" fontId="93" fillId="0" borderId="0" xfId="48" applyFont="1"/>
    <xf numFmtId="0" fontId="91" fillId="0" borderId="0" xfId="48" applyFont="1" applyFill="1" applyAlignment="1">
      <alignment horizontal="center" vertical="center"/>
    </xf>
    <xf numFmtId="204" fontId="96" fillId="0" borderId="21" xfId="26" applyNumberFormat="1" applyFont="1" applyFill="1" applyBorder="1"/>
    <xf numFmtId="0" fontId="91" fillId="0" borderId="2" xfId="48" applyFont="1" applyFill="1" applyBorder="1" applyAlignment="1">
      <alignment horizontal="center" vertical="center"/>
    </xf>
    <xf numFmtId="0" fontId="97" fillId="0" borderId="0" xfId="48" applyFont="1" applyFill="1" applyAlignment="1">
      <alignment horizontal="center" vertical="center"/>
    </xf>
    <xf numFmtId="0" fontId="91" fillId="0" borderId="1" xfId="48" applyFont="1" applyFill="1" applyBorder="1" applyAlignment="1">
      <alignment horizontal="center" vertical="center"/>
    </xf>
    <xf numFmtId="0" fontId="91" fillId="0" borderId="22" xfId="48" applyFont="1" applyFill="1" applyBorder="1"/>
    <xf numFmtId="0" fontId="94" fillId="0" borderId="22" xfId="48" applyFont="1" applyFill="1" applyBorder="1"/>
    <xf numFmtId="204" fontId="94" fillId="0" borderId="22" xfId="26" applyNumberFormat="1" applyFont="1" applyFill="1" applyBorder="1" applyAlignment="1">
      <alignment horizontal="center"/>
    </xf>
    <xf numFmtId="204" fontId="96" fillId="0" borderId="22" xfId="26" applyNumberFormat="1" applyFont="1" applyFill="1" applyBorder="1"/>
    <xf numFmtId="0" fontId="91" fillId="9" borderId="19" xfId="48" applyFont="1" applyFill="1" applyBorder="1"/>
    <xf numFmtId="0" fontId="91" fillId="9" borderId="0" xfId="48" applyFont="1" applyFill="1" applyBorder="1"/>
    <xf numFmtId="0" fontId="91" fillId="9" borderId="0" xfId="48" applyFont="1" applyFill="1" applyAlignment="1">
      <alignment horizontal="center"/>
    </xf>
    <xf numFmtId="0" fontId="92" fillId="9" borderId="19" xfId="48" applyFont="1" applyFill="1" applyBorder="1"/>
    <xf numFmtId="0" fontId="92" fillId="0" borderId="0" xfId="48" applyFont="1" applyBorder="1"/>
    <xf numFmtId="0" fontId="92" fillId="0" borderId="19" xfId="48" applyFont="1" applyBorder="1"/>
    <xf numFmtId="202" fontId="92" fillId="0" borderId="19" xfId="26" applyNumberFormat="1" applyFont="1" applyBorder="1"/>
    <xf numFmtId="203" fontId="92" fillId="0" borderId="0" xfId="48" applyNumberFormat="1" applyFont="1" applyBorder="1"/>
    <xf numFmtId="0" fontId="92" fillId="0" borderId="0" xfId="48" applyFont="1" applyAlignment="1">
      <alignment horizontal="center"/>
    </xf>
    <xf numFmtId="204" fontId="101" fillId="0" borderId="21" xfId="26" applyNumberFormat="1" applyFont="1" applyFill="1" applyBorder="1"/>
    <xf numFmtId="203" fontId="101" fillId="0" borderId="21" xfId="48" applyNumberFormat="1" applyFont="1" applyFill="1" applyBorder="1"/>
    <xf numFmtId="203" fontId="102" fillId="0" borderId="23" xfId="48" applyNumberFormat="1" applyFont="1" applyFill="1" applyBorder="1"/>
    <xf numFmtId="203" fontId="101" fillId="0" borderId="22" xfId="48" applyNumberFormat="1" applyFont="1" applyFill="1" applyBorder="1"/>
    <xf numFmtId="44" fontId="104" fillId="0" borderId="0" xfId="4" applyFont="1"/>
    <xf numFmtId="0" fontId="75" fillId="0" borderId="0" xfId="0" applyFont="1" applyFill="1" applyAlignment="1">
      <alignment horizontal="center" vertical="center"/>
    </xf>
    <xf numFmtId="0" fontId="76" fillId="0" borderId="20" xfId="0" applyFont="1" applyFill="1" applyBorder="1" applyAlignment="1">
      <alignment horizontal="center" vertical="center"/>
    </xf>
    <xf numFmtId="164" fontId="105" fillId="0" borderId="0" xfId="18" applyFont="1"/>
    <xf numFmtId="205" fontId="17" fillId="0" borderId="0" xfId="10" applyNumberFormat="1" applyFont="1" applyFill="1" applyProtection="1"/>
    <xf numFmtId="205" fontId="50" fillId="0" borderId="0" xfId="10" applyNumberFormat="1"/>
    <xf numFmtId="205" fontId="17" fillId="0" borderId="0" xfId="10" applyNumberFormat="1" applyFont="1" applyProtection="1"/>
    <xf numFmtId="14" fontId="16" fillId="0" borderId="0" xfId="1" applyNumberFormat="1" applyFont="1" applyFill="1" applyBorder="1" applyAlignment="1">
      <alignment horizontal="center"/>
    </xf>
    <xf numFmtId="165" fontId="103" fillId="0" borderId="0" xfId="1" applyNumberFormat="1" applyFont="1" applyFill="1" applyBorder="1"/>
    <xf numFmtId="165" fontId="103" fillId="0" borderId="1" xfId="1" applyNumberFormat="1" applyFont="1" applyFill="1" applyBorder="1"/>
    <xf numFmtId="37" fontId="106" fillId="0" borderId="1" xfId="7" applyNumberFormat="1" applyFont="1" applyFill="1" applyBorder="1" applyProtection="1"/>
    <xf numFmtId="37" fontId="106" fillId="0" borderId="0" xfId="7" applyNumberFormat="1" applyFont="1" applyFill="1" applyProtection="1"/>
    <xf numFmtId="177" fontId="106" fillId="0" borderId="0" xfId="7" applyNumberFormat="1" applyFont="1" applyFill="1" applyProtection="1"/>
    <xf numFmtId="0" fontId="106" fillId="0" borderId="0" xfId="7" applyFont="1" applyFill="1" applyProtection="1"/>
    <xf numFmtId="0" fontId="106" fillId="0" borderId="0" xfId="7" applyFont="1" applyFill="1"/>
    <xf numFmtId="0" fontId="106" fillId="0" borderId="0" xfId="7" applyFont="1" applyFill="1" applyBorder="1" applyAlignment="1" applyProtection="1">
      <alignment horizontal="center"/>
    </xf>
    <xf numFmtId="7" fontId="106" fillId="0" borderId="0" xfId="10" applyNumberFormat="1" applyFont="1" applyProtection="1">
      <protection locked="0"/>
    </xf>
    <xf numFmtId="7" fontId="106" fillId="0" borderId="0" xfId="10" applyNumberFormat="1" applyFont="1" applyAlignment="1" applyProtection="1">
      <alignment horizontal="right"/>
      <protection locked="0"/>
    </xf>
    <xf numFmtId="37" fontId="106" fillId="0" borderId="0" xfId="10" applyNumberFormat="1" applyFont="1" applyFill="1" applyProtection="1">
      <protection locked="0"/>
    </xf>
    <xf numFmtId="37" fontId="106" fillId="0" borderId="0" xfId="12" applyNumberFormat="1" applyFont="1" applyFill="1" applyProtection="1"/>
    <xf numFmtId="37" fontId="106" fillId="0" borderId="1" xfId="10" applyNumberFormat="1" applyFont="1" applyFill="1" applyBorder="1" applyProtection="1">
      <protection locked="0"/>
    </xf>
    <xf numFmtId="37" fontId="106" fillId="0" borderId="0" xfId="10" applyNumberFormat="1" applyFont="1" applyProtection="1">
      <protection locked="0"/>
    </xf>
    <xf numFmtId="0" fontId="106" fillId="0" borderId="0" xfId="10" applyFont="1" applyProtection="1"/>
    <xf numFmtId="0" fontId="106" fillId="0" borderId="0" xfId="10" applyFont="1" applyProtection="1">
      <protection locked="0"/>
    </xf>
    <xf numFmtId="37" fontId="106" fillId="0" borderId="1" xfId="10" applyNumberFormat="1" applyFont="1" applyBorder="1" applyProtection="1">
      <protection locked="0"/>
    </xf>
    <xf numFmtId="37" fontId="106" fillId="0" borderId="0" xfId="10" applyNumberFormat="1" applyFont="1" applyFill="1" applyBorder="1" applyProtection="1">
      <protection locked="0"/>
    </xf>
    <xf numFmtId="37" fontId="106" fillId="0" borderId="0" xfId="10" applyNumberFormat="1" applyFont="1" applyFill="1" applyProtection="1"/>
    <xf numFmtId="166" fontId="106" fillId="0" borderId="0" xfId="10" applyNumberFormat="1" applyFont="1" applyFill="1" applyProtection="1">
      <protection locked="0"/>
    </xf>
    <xf numFmtId="39" fontId="106" fillId="0" borderId="0" xfId="10" applyNumberFormat="1" applyFont="1" applyFill="1" applyBorder="1" applyProtection="1"/>
    <xf numFmtId="0" fontId="107" fillId="0" borderId="0" xfId="10" applyFont="1" applyFill="1"/>
    <xf numFmtId="0" fontId="106" fillId="0" borderId="0" xfId="10" applyFont="1" applyFill="1"/>
    <xf numFmtId="0" fontId="107" fillId="0" borderId="0" xfId="10" applyFont="1"/>
    <xf numFmtId="205" fontId="106" fillId="0" borderId="0" xfId="10" applyNumberFormat="1" applyFont="1" applyFill="1" applyProtection="1"/>
    <xf numFmtId="205" fontId="106" fillId="0" borderId="0" xfId="10" applyNumberFormat="1" applyFont="1" applyFill="1"/>
    <xf numFmtId="0" fontId="106" fillId="0" borderId="0" xfId="10" applyFont="1"/>
    <xf numFmtId="39" fontId="106" fillId="0" borderId="1" xfId="10" applyNumberFormat="1" applyFont="1" applyFill="1" applyBorder="1" applyProtection="1"/>
    <xf numFmtId="39" fontId="106" fillId="0" borderId="1" xfId="10" applyNumberFormat="1" applyFont="1" applyFill="1" applyBorder="1"/>
    <xf numFmtId="174" fontId="103" fillId="0" borderId="0" xfId="15" applyNumberFormat="1" applyFont="1" applyFill="1"/>
    <xf numFmtId="7" fontId="103" fillId="0" borderId="0" xfId="15" applyNumberFormat="1" applyFont="1" applyFill="1"/>
    <xf numFmtId="165" fontId="103" fillId="0" borderId="0" xfId="1" applyNumberFormat="1" applyFont="1" applyFill="1"/>
    <xf numFmtId="0" fontId="103" fillId="0" borderId="0" xfId="1" applyFont="1"/>
    <xf numFmtId="165" fontId="103" fillId="0" borderId="0" xfId="7" applyNumberFormat="1" applyFont="1" applyFill="1"/>
    <xf numFmtId="165" fontId="103" fillId="0" borderId="0" xfId="7" applyNumberFormat="1" applyFont="1"/>
    <xf numFmtId="165" fontId="103" fillId="0" borderId="1" xfId="7" applyNumberFormat="1" applyFont="1" applyBorder="1"/>
    <xf numFmtId="165" fontId="103" fillId="0" borderId="1" xfId="7" applyNumberFormat="1" applyFont="1" applyFill="1" applyBorder="1"/>
    <xf numFmtId="0" fontId="103" fillId="0" borderId="0" xfId="7" applyFont="1"/>
    <xf numFmtId="14" fontId="103" fillId="0" borderId="0" xfId="1" applyNumberFormat="1" applyFont="1" applyFill="1"/>
    <xf numFmtId="14" fontId="103" fillId="0" borderId="0" xfId="1" applyNumberFormat="1" applyFont="1"/>
    <xf numFmtId="165" fontId="106" fillId="0" borderId="1" xfId="7" applyNumberFormat="1" applyFont="1" applyFill="1" applyBorder="1" applyProtection="1"/>
    <xf numFmtId="37" fontId="106" fillId="0" borderId="0" xfId="10" quotePrefix="1" applyNumberFormat="1" applyFont="1" applyFill="1" applyProtection="1"/>
    <xf numFmtId="165" fontId="106" fillId="0" borderId="0" xfId="10" applyNumberFormat="1" applyFont="1" applyFill="1" applyProtection="1"/>
    <xf numFmtId="39" fontId="106" fillId="0" borderId="0" xfId="10" applyNumberFormat="1" applyFont="1" applyFill="1" applyProtection="1"/>
    <xf numFmtId="0" fontId="106" fillId="0" borderId="0" xfId="10" applyFont="1" applyFill="1" applyProtection="1"/>
    <xf numFmtId="44" fontId="19" fillId="0" borderId="0" xfId="27" applyFont="1"/>
    <xf numFmtId="39" fontId="19" fillId="0" borderId="0" xfId="27" applyNumberFormat="1" applyFont="1"/>
    <xf numFmtId="39" fontId="19" fillId="0" borderId="0" xfId="27" applyNumberFormat="1" applyFont="1" applyFill="1"/>
    <xf numFmtId="40" fontId="17" fillId="0" borderId="1" xfId="26" applyNumberFormat="1" applyFont="1" applyBorder="1"/>
    <xf numFmtId="10" fontId="19" fillId="0" borderId="18" xfId="28" applyNumberFormat="1" applyFont="1" applyBorder="1" applyAlignment="1" applyProtection="1">
      <alignment horizontal="right"/>
      <protection locked="0"/>
    </xf>
    <xf numFmtId="5" fontId="19" fillId="0" borderId="0" xfId="27" applyNumberFormat="1" applyFont="1"/>
    <xf numFmtId="185" fontId="19" fillId="0" borderId="0" xfId="27" applyNumberFormat="1" applyFont="1"/>
    <xf numFmtId="37" fontId="19" fillId="0" borderId="0" xfId="18" applyNumberFormat="1" applyFont="1"/>
    <xf numFmtId="37" fontId="19" fillId="0" borderId="0" xfId="26" applyNumberFormat="1" applyFont="1"/>
    <xf numFmtId="164" fontId="60" fillId="0" borderId="0" xfId="18" applyFont="1" applyAlignment="1" applyProtection="1">
      <alignment horizontal="left"/>
    </xf>
    <xf numFmtId="165" fontId="5" fillId="0" borderId="0" xfId="18" applyNumberFormat="1" applyFont="1"/>
    <xf numFmtId="0" fontId="108" fillId="0" borderId="0" xfId="0" applyFont="1"/>
    <xf numFmtId="0" fontId="0" fillId="0" borderId="22" xfId="0" applyFont="1" applyBorder="1" applyAlignment="1">
      <alignment horizontal="center" vertical="center"/>
    </xf>
    <xf numFmtId="188" fontId="45" fillId="0" borderId="0" xfId="7" quotePrefix="1" applyNumberFormat="1" applyFont="1" applyFill="1" applyBorder="1" applyProtection="1"/>
    <xf numFmtId="0" fontId="36" fillId="0" borderId="0" xfId="7" quotePrefix="1" applyFont="1"/>
    <xf numFmtId="0" fontId="77" fillId="0" borderId="0" xfId="0" applyFont="1" applyFill="1" applyAlignment="1">
      <alignment horizontal="center" vertical="center" wrapText="1"/>
    </xf>
    <xf numFmtId="0" fontId="75" fillId="0" borderId="0" xfId="0" applyFont="1" applyFill="1" applyBorder="1" applyAlignment="1">
      <alignment horizontal="center" vertical="center"/>
    </xf>
    <xf numFmtId="0" fontId="0" fillId="0" borderId="0" xfId="0" applyBorder="1" applyAlignment="1">
      <alignment horizontal="center" vertical="center" textRotation="90"/>
    </xf>
    <xf numFmtId="180" fontId="17" fillId="0" borderId="0" xfId="2" applyNumberFormat="1" applyFont="1" applyFill="1" applyProtection="1"/>
    <xf numFmtId="164" fontId="109" fillId="0" borderId="0" xfId="18" quotePrefix="1" applyFont="1" applyAlignment="1" applyProtection="1">
      <alignment horizontal="left"/>
    </xf>
    <xf numFmtId="164" fontId="110" fillId="0" borderId="0" xfId="18" applyFont="1" applyAlignment="1" applyProtection="1">
      <alignment horizontal="left"/>
    </xf>
    <xf numFmtId="164" fontId="110" fillId="0" borderId="0" xfId="18" applyFont="1" applyProtection="1"/>
    <xf numFmtId="164" fontId="1" fillId="0" borderId="0" xfId="18" applyFont="1"/>
    <xf numFmtId="164" fontId="109" fillId="0" borderId="0" xfId="18" applyFont="1" applyAlignment="1" applyProtection="1">
      <alignment horizontal="left"/>
    </xf>
    <xf numFmtId="164" fontId="100" fillId="0" borderId="0" xfId="18" applyFont="1" applyAlignment="1" applyProtection="1">
      <alignment horizontal="left"/>
    </xf>
    <xf numFmtId="164" fontId="7" fillId="0" borderId="0" xfId="18" applyFont="1"/>
    <xf numFmtId="164" fontId="58" fillId="0" borderId="0" xfId="18" applyFont="1" applyAlignment="1" applyProtection="1">
      <alignment horizontal="center"/>
    </xf>
    <xf numFmtId="164" fontId="58" fillId="0" borderId="0" xfId="18" applyFont="1" applyProtection="1"/>
    <xf numFmtId="164" fontId="58" fillId="0" borderId="12" xfId="18" applyFont="1" applyBorder="1" applyAlignment="1" applyProtection="1">
      <alignment horizontal="center"/>
    </xf>
    <xf numFmtId="164" fontId="58" fillId="0" borderId="12" xfId="18" applyFont="1" applyBorder="1" applyAlignment="1" applyProtection="1"/>
    <xf numFmtId="164" fontId="58" fillId="0" borderId="12" xfId="18" applyFont="1" applyBorder="1" applyProtection="1"/>
    <xf numFmtId="164" fontId="1" fillId="0" borderId="1" xfId="18" applyFont="1" applyBorder="1"/>
    <xf numFmtId="164" fontId="1" fillId="0" borderId="0" xfId="18" applyFont="1" applyAlignment="1">
      <alignment horizontal="center"/>
    </xf>
    <xf numFmtId="164" fontId="1" fillId="0" borderId="0" xfId="18" applyFont="1" applyFill="1"/>
    <xf numFmtId="7" fontId="1" fillId="0" borderId="0" xfId="26" applyNumberFormat="1" applyFont="1" applyFill="1"/>
    <xf numFmtId="44" fontId="1" fillId="0" borderId="0" xfId="27" applyFont="1"/>
    <xf numFmtId="164" fontId="1" fillId="0" borderId="0" xfId="18" applyFont="1" applyBorder="1" applyAlignment="1">
      <alignment horizontal="justify"/>
    </xf>
    <xf numFmtId="164" fontId="1" fillId="0" borderId="0" xfId="18" applyFont="1" applyAlignment="1">
      <alignment horizontal="justify"/>
    </xf>
    <xf numFmtId="164" fontId="1" fillId="0" borderId="0" xfId="18" applyFont="1" applyBorder="1"/>
    <xf numFmtId="44" fontId="1" fillId="0" borderId="9" xfId="27" applyFont="1" applyBorder="1"/>
    <xf numFmtId="164" fontId="7" fillId="0" borderId="0" xfId="18" quotePrefix="1" applyFont="1" applyAlignment="1">
      <alignment horizontal="center"/>
    </xf>
    <xf numFmtId="164" fontId="7" fillId="0" borderId="1" xfId="18" applyFont="1" applyBorder="1"/>
    <xf numFmtId="164" fontId="7" fillId="0" borderId="1" xfId="18" applyFont="1" applyBorder="1" applyAlignment="1">
      <alignment horizontal="center"/>
    </xf>
    <xf numFmtId="44" fontId="1" fillId="0" borderId="0" xfId="27" applyNumberFormat="1" applyFont="1"/>
    <xf numFmtId="164" fontId="7" fillId="0" borderId="0" xfId="18" applyFont="1" applyBorder="1"/>
    <xf numFmtId="169" fontId="1" fillId="0" borderId="0" xfId="18" applyNumberFormat="1" applyFont="1"/>
    <xf numFmtId="178" fontId="7" fillId="0" borderId="17" xfId="27" applyNumberFormat="1" applyFont="1" applyBorder="1"/>
    <xf numFmtId="164" fontId="7" fillId="0" borderId="16" xfId="18" quotePrefix="1" applyFont="1" applyBorder="1"/>
    <xf numFmtId="178" fontId="7" fillId="0" borderId="0" xfId="27" applyNumberFormat="1" applyFont="1" applyBorder="1"/>
    <xf numFmtId="164" fontId="7" fillId="0" borderId="0" xfId="18" quotePrefix="1" applyFont="1" applyBorder="1"/>
    <xf numFmtId="0" fontId="1" fillId="0" borderId="0" xfId="43"/>
    <xf numFmtId="0" fontId="1" fillId="0" borderId="0" xfId="43" applyAlignment="1">
      <alignment horizontal="right"/>
    </xf>
    <xf numFmtId="0" fontId="1" fillId="0" borderId="0" xfId="43" applyAlignment="1">
      <alignment horizontal="centerContinuous"/>
    </xf>
    <xf numFmtId="0" fontId="1" fillId="0" borderId="0" xfId="43" applyFont="1"/>
    <xf numFmtId="39" fontId="1" fillId="0" borderId="0" xfId="43" applyNumberFormat="1"/>
    <xf numFmtId="39" fontId="1" fillId="0" borderId="10" xfId="44" applyNumberFormat="1" applyBorder="1"/>
    <xf numFmtId="39" fontId="1" fillId="0" borderId="0" xfId="44" applyNumberFormat="1" applyBorder="1"/>
    <xf numFmtId="44" fontId="1" fillId="0" borderId="0" xfId="44"/>
    <xf numFmtId="0" fontId="1" fillId="0" borderId="0" xfId="43" quotePrefix="1" applyAlignment="1">
      <alignment horizontal="center"/>
    </xf>
    <xf numFmtId="0" fontId="1" fillId="0" borderId="0" xfId="43" applyAlignment="1">
      <alignment horizontal="center"/>
    </xf>
    <xf numFmtId="44" fontId="1" fillId="0" borderId="0" xfId="43" applyNumberFormat="1" applyAlignment="1">
      <alignment horizontal="center"/>
    </xf>
    <xf numFmtId="0" fontId="9" fillId="0" borderId="0" xfId="43" applyFont="1" applyAlignment="1">
      <alignment horizontal="center"/>
    </xf>
    <xf numFmtId="0" fontId="1" fillId="0" borderId="0" xfId="43" applyFont="1" applyAlignment="1">
      <alignment horizontal="center"/>
    </xf>
    <xf numFmtId="44" fontId="1" fillId="0" borderId="0" xfId="44" applyFont="1" applyAlignment="1">
      <alignment horizontal="center" wrapText="1"/>
    </xf>
    <xf numFmtId="43" fontId="1" fillId="0" borderId="0" xfId="45"/>
    <xf numFmtId="17" fontId="1" fillId="0" borderId="0" xfId="43" applyNumberFormat="1"/>
    <xf numFmtId="181" fontId="1" fillId="0" borderId="0" xfId="45" applyNumberFormat="1"/>
    <xf numFmtId="178" fontId="1" fillId="0" borderId="0" xfId="44" applyNumberFormat="1"/>
    <xf numFmtId="40" fontId="1" fillId="0" borderId="0" xfId="43" applyNumberFormat="1"/>
    <xf numFmtId="7" fontId="1" fillId="0" borderId="0" xfId="44" applyNumberFormat="1"/>
    <xf numFmtId="40" fontId="1" fillId="0" borderId="0" xfId="44" applyNumberFormat="1"/>
    <xf numFmtId="181" fontId="1" fillId="0" borderId="10" xfId="43" applyNumberFormat="1" applyBorder="1"/>
    <xf numFmtId="0" fontId="1" fillId="0" borderId="10" xfId="43" applyBorder="1"/>
    <xf numFmtId="7" fontId="1" fillId="0" borderId="10" xfId="44" applyNumberFormat="1" applyBorder="1"/>
    <xf numFmtId="40" fontId="1" fillId="0" borderId="10" xfId="43" applyNumberFormat="1" applyBorder="1"/>
    <xf numFmtId="40" fontId="1" fillId="0" borderId="0" xfId="43" applyNumberFormat="1" applyBorder="1"/>
    <xf numFmtId="39" fontId="9" fillId="0" borderId="0" xfId="43" applyNumberFormat="1" applyFont="1" applyAlignment="1">
      <alignment horizontal="center"/>
    </xf>
    <xf numFmtId="43" fontId="0" fillId="0" borderId="0" xfId="45" applyFont="1"/>
    <xf numFmtId="43" fontId="1" fillId="0" borderId="0" xfId="43" applyNumberFormat="1"/>
    <xf numFmtId="7" fontId="1" fillId="0" borderId="0" xfId="15" applyNumberFormat="1" applyFont="1"/>
    <xf numFmtId="40" fontId="103" fillId="0" borderId="1" xfId="26" applyNumberFormat="1" applyFont="1" applyBorder="1"/>
    <xf numFmtId="43" fontId="103" fillId="0" borderId="1" xfId="26" applyFont="1" applyBorder="1"/>
    <xf numFmtId="203" fontId="93" fillId="7" borderId="7" xfId="48" applyNumberFormat="1" applyFont="1" applyFill="1" applyBorder="1"/>
    <xf numFmtId="202" fontId="93" fillId="0" borderId="21" xfId="26" applyNumberFormat="1" applyFont="1" applyFill="1" applyBorder="1" applyAlignment="1">
      <alignment horizontal="center"/>
    </xf>
    <xf numFmtId="203" fontId="93" fillId="7" borderId="4" xfId="48" applyNumberFormat="1" applyFont="1" applyFill="1" applyBorder="1"/>
    <xf numFmtId="203" fontId="92" fillId="7" borderId="4" xfId="48" applyNumberFormat="1" applyFont="1" applyFill="1" applyBorder="1"/>
    <xf numFmtId="203" fontId="92" fillId="7" borderId="2" xfId="48" applyNumberFormat="1" applyFont="1" applyFill="1" applyBorder="1"/>
    <xf numFmtId="39" fontId="17" fillId="0" borderId="0" xfId="10" quotePrefix="1" applyNumberFormat="1" applyFont="1" applyFill="1" applyBorder="1" applyProtection="1"/>
    <xf numFmtId="166" fontId="51" fillId="0" borderId="0" xfId="10" applyNumberFormat="1" applyFont="1" applyFill="1" applyBorder="1" applyProtection="1"/>
    <xf numFmtId="39" fontId="17" fillId="0" borderId="0" xfId="10" applyNumberFormat="1" applyFont="1" applyFill="1"/>
    <xf numFmtId="166" fontId="51" fillId="0" borderId="1" xfId="10" applyNumberFormat="1" applyFont="1" applyFill="1" applyBorder="1" applyProtection="1"/>
    <xf numFmtId="0" fontId="17" fillId="0" borderId="0" xfId="10" applyFont="1" applyFill="1" applyBorder="1" applyProtection="1"/>
    <xf numFmtId="166" fontId="51" fillId="0" borderId="9" xfId="10" applyNumberFormat="1" applyFont="1" applyFill="1" applyBorder="1" applyProtection="1"/>
    <xf numFmtId="181" fontId="16" fillId="27" borderId="0" xfId="2" applyNumberFormat="1" applyFont="1" applyFill="1"/>
    <xf numFmtId="187" fontId="16" fillId="27" borderId="0" xfId="4" applyNumberFormat="1" applyFont="1" applyFill="1"/>
    <xf numFmtId="185" fontId="0" fillId="27" borderId="0" xfId="4" applyNumberFormat="1" applyFont="1" applyFill="1"/>
    <xf numFmtId="181" fontId="0" fillId="27" borderId="0" xfId="2" applyNumberFormat="1" applyFont="1" applyFill="1"/>
    <xf numFmtId="207" fontId="124" fillId="0" borderId="20" xfId="80" applyNumberFormat="1" applyFont="1" applyFill="1" applyBorder="1"/>
    <xf numFmtId="207" fontId="125" fillId="0" borderId="23" xfId="80" applyNumberFormat="1" applyFont="1" applyFill="1" applyBorder="1"/>
    <xf numFmtId="207" fontId="124" fillId="0" borderId="21" xfId="80" applyNumberFormat="1" applyFont="1" applyFill="1" applyBorder="1"/>
    <xf numFmtId="207" fontId="124" fillId="0" borderId="22" xfId="80" applyNumberFormat="1" applyFont="1" applyFill="1" applyBorder="1"/>
    <xf numFmtId="207" fontId="92" fillId="8" borderId="17" xfId="48" applyNumberFormat="1" applyFont="1" applyFill="1" applyBorder="1"/>
    <xf numFmtId="207" fontId="92" fillId="8" borderId="35" xfId="48" applyNumberFormat="1" applyFont="1" applyFill="1" applyBorder="1"/>
    <xf numFmtId="207" fontId="93" fillId="8" borderId="17" xfId="48" applyNumberFormat="1" applyFont="1" applyFill="1" applyBorder="1"/>
    <xf numFmtId="207" fontId="93" fillId="8" borderId="35" xfId="48" applyNumberFormat="1" applyFont="1" applyFill="1" applyBorder="1"/>
    <xf numFmtId="207" fontId="92" fillId="7" borderId="5" xfId="48" applyNumberFormat="1" applyFont="1" applyFill="1" applyBorder="1"/>
    <xf numFmtId="207" fontId="92" fillId="7" borderId="21" xfId="48" applyNumberFormat="1" applyFont="1" applyFill="1" applyBorder="1"/>
    <xf numFmtId="207" fontId="93" fillId="7" borderId="21" xfId="48" applyNumberFormat="1" applyFont="1" applyFill="1" applyBorder="1"/>
    <xf numFmtId="207" fontId="92" fillId="7" borderId="22" xfId="48" applyNumberFormat="1" applyFont="1" applyFill="1" applyBorder="1"/>
    <xf numFmtId="165" fontId="1" fillId="0" borderId="0" xfId="7" applyNumberFormat="1" applyFont="1"/>
    <xf numFmtId="165" fontId="1" fillId="0" borderId="0" xfId="1" applyNumberFormat="1" applyFont="1" applyFill="1"/>
    <xf numFmtId="0" fontId="126" fillId="0" borderId="0" xfId="1" applyFont="1"/>
    <xf numFmtId="164" fontId="126" fillId="0" borderId="0" xfId="1" applyNumberFormat="1" applyFont="1"/>
    <xf numFmtId="190" fontId="17" fillId="0" borderId="0" xfId="10" applyNumberFormat="1" applyFont="1" applyProtection="1">
      <protection locked="0"/>
    </xf>
    <xf numFmtId="190" fontId="17" fillId="0" borderId="0" xfId="10" applyNumberFormat="1" applyFont="1" applyFill="1" applyProtection="1">
      <protection locked="0"/>
    </xf>
    <xf numFmtId="190" fontId="106" fillId="0" borderId="0" xfId="10" applyNumberFormat="1" applyFont="1" applyFill="1" applyProtection="1">
      <protection locked="0"/>
    </xf>
    <xf numFmtId="190" fontId="17" fillId="0" borderId="0" xfId="10" applyNumberFormat="1" applyFont="1" applyFill="1"/>
    <xf numFmtId="190" fontId="50" fillId="0" borderId="0" xfId="10" applyNumberFormat="1" applyFill="1"/>
    <xf numFmtId="190" fontId="17" fillId="0" borderId="0" xfId="10" applyNumberFormat="1" applyFont="1"/>
    <xf numFmtId="190" fontId="106" fillId="0" borderId="1" xfId="10" applyNumberFormat="1" applyFont="1" applyFill="1" applyBorder="1" applyProtection="1">
      <protection locked="0"/>
    </xf>
    <xf numFmtId="190" fontId="17" fillId="0" borderId="1" xfId="10" applyNumberFormat="1" applyFont="1" applyFill="1" applyBorder="1" applyProtection="1">
      <protection locked="0"/>
    </xf>
    <xf numFmtId="192" fontId="38" fillId="0" borderId="0" xfId="7" applyNumberFormat="1" applyFont="1" applyAlignment="1">
      <alignment horizontal="right"/>
    </xf>
    <xf numFmtId="192" fontId="38" fillId="0" borderId="0" xfId="7" applyNumberFormat="1" applyFont="1" applyFill="1" applyAlignment="1">
      <alignment horizontal="right"/>
    </xf>
    <xf numFmtId="192" fontId="36" fillId="0" borderId="0" xfId="7" applyNumberFormat="1" applyFont="1" applyAlignment="1">
      <alignment horizontal="right"/>
    </xf>
    <xf numFmtId="37" fontId="106" fillId="0" borderId="0" xfId="7" applyNumberFormat="1" applyFont="1" applyFill="1"/>
    <xf numFmtId="0" fontId="1" fillId="0" borderId="0" xfId="10" applyFont="1"/>
    <xf numFmtId="0" fontId="1" fillId="0" borderId="0" xfId="7" applyFont="1"/>
    <xf numFmtId="165" fontId="1" fillId="0" borderId="0" xfId="7" applyNumberFormat="1" applyFont="1" applyFill="1"/>
    <xf numFmtId="192" fontId="3" fillId="0" borderId="11" xfId="7" applyNumberFormat="1" applyFill="1" applyBorder="1"/>
    <xf numFmtId="181" fontId="17" fillId="0" borderId="0" xfId="20" applyNumberFormat="1" applyFont="1" applyFill="1"/>
    <xf numFmtId="0" fontId="17" fillId="0" borderId="1" xfId="7" applyFont="1" applyBorder="1"/>
    <xf numFmtId="164" fontId="73" fillId="0" borderId="0" xfId="1" applyNumberFormat="1" applyFont="1" applyAlignment="1">
      <alignment horizontal="center"/>
    </xf>
    <xf numFmtId="164" fontId="36" fillId="0" borderId="0" xfId="1" applyNumberFormat="1" applyFont="1" applyAlignment="1">
      <alignment horizontal="center"/>
    </xf>
    <xf numFmtId="164" fontId="73" fillId="0" borderId="0" xfId="1" applyNumberFormat="1" applyFont="1" applyFill="1" applyAlignment="1">
      <alignment horizontal="center"/>
    </xf>
    <xf numFmtId="164" fontId="73" fillId="0" borderId="0" xfId="1" applyNumberFormat="1" applyFont="1" applyFill="1" applyBorder="1" applyAlignment="1">
      <alignment horizontal="center"/>
    </xf>
    <xf numFmtId="164" fontId="36" fillId="0" borderId="0" xfId="1" applyNumberFormat="1" applyFont="1" applyBorder="1" applyAlignment="1">
      <alignment horizontal="center"/>
    </xf>
    <xf numFmtId="0" fontId="3" fillId="0" borderId="0" xfId="15" applyFont="1" applyFill="1" applyAlignment="1">
      <alignment horizontal="center"/>
    </xf>
    <xf numFmtId="208" fontId="36" fillId="0" borderId="0" xfId="7" applyNumberFormat="1" applyFont="1"/>
    <xf numFmtId="0" fontId="0" fillId="0" borderId="1" xfId="0" applyBorder="1" applyAlignment="1">
      <alignment horizontal="left" vertical="center"/>
    </xf>
    <xf numFmtId="0" fontId="0" fillId="0" borderId="22" xfId="0" applyBorder="1" applyAlignment="1">
      <alignment horizontal="center" vertical="center"/>
    </xf>
    <xf numFmtId="0" fontId="0" fillId="0" borderId="20" xfId="0" applyBorder="1" applyAlignment="1">
      <alignment horizontal="center" vertical="center"/>
    </xf>
    <xf numFmtId="0" fontId="0" fillId="0" borderId="0" xfId="0" applyFill="1" applyAlignment="1">
      <alignment vertical="center"/>
    </xf>
    <xf numFmtId="0" fontId="74" fillId="0" borderId="19" xfId="0" applyFont="1" applyFill="1" applyBorder="1" applyAlignment="1">
      <alignment vertical="center" wrapText="1"/>
    </xf>
    <xf numFmtId="0" fontId="74" fillId="0" borderId="0" xfId="0" applyFont="1" applyFill="1" applyAlignment="1">
      <alignment vertical="center" wrapText="1"/>
    </xf>
    <xf numFmtId="0" fontId="0" fillId="0" borderId="20" xfId="0" applyFill="1" applyBorder="1" applyAlignment="1">
      <alignment vertical="center"/>
    </xf>
    <xf numFmtId="0" fontId="0" fillId="0" borderId="20" xfId="0" applyFont="1" applyFill="1" applyBorder="1" applyAlignment="1">
      <alignment vertical="center" wrapText="1"/>
    </xf>
    <xf numFmtId="0" fontId="0" fillId="0" borderId="0" xfId="0" applyFont="1" applyFill="1" applyAlignment="1">
      <alignment vertical="center" wrapText="1"/>
    </xf>
    <xf numFmtId="0" fontId="0" fillId="0" borderId="0" xfId="0" applyFill="1" applyBorder="1" applyAlignment="1">
      <alignment vertical="center"/>
    </xf>
    <xf numFmtId="0" fontId="74" fillId="0" borderId="0" xfId="0" applyFont="1" applyAlignment="1">
      <alignment vertical="center"/>
    </xf>
    <xf numFmtId="0" fontId="0" fillId="0" borderId="0" xfId="0" applyAlignment="1">
      <alignment vertical="center"/>
    </xf>
    <xf numFmtId="0" fontId="0" fillId="0" borderId="0" xfId="0" applyBorder="1" applyAlignment="1">
      <alignment vertical="center"/>
    </xf>
    <xf numFmtId="0" fontId="74" fillId="0" borderId="19" xfId="0" applyFont="1" applyBorder="1" applyAlignment="1">
      <alignment vertical="center" wrapText="1"/>
    </xf>
    <xf numFmtId="0" fontId="74" fillId="0" borderId="0" xfId="0" applyFont="1" applyBorder="1" applyAlignment="1">
      <alignment vertical="center" wrapText="1"/>
    </xf>
    <xf numFmtId="0" fontId="51" fillId="0" borderId="19" xfId="0" applyFont="1" applyBorder="1" applyAlignment="1">
      <alignment horizontal="center" vertical="center" wrapText="1"/>
    </xf>
    <xf numFmtId="0" fontId="7" fillId="0" borderId="19" xfId="0" applyFont="1" applyBorder="1" applyAlignment="1">
      <alignment vertical="center" wrapText="1"/>
    </xf>
    <xf numFmtId="0" fontId="74" fillId="0" borderId="0" xfId="0" applyFont="1" applyBorder="1" applyAlignment="1">
      <alignment horizontal="left" vertical="center"/>
    </xf>
    <xf numFmtId="0" fontId="51" fillId="0" borderId="0" xfId="0" applyFont="1" applyAlignment="1">
      <alignment horizontal="center" vertical="center" wrapText="1"/>
    </xf>
    <xf numFmtId="0" fontId="7" fillId="0" borderId="0" xfId="0" applyFont="1" applyAlignment="1">
      <alignment vertical="center" wrapText="1"/>
    </xf>
    <xf numFmtId="0" fontId="0" fillId="0" borderId="21" xfId="0" applyBorder="1" applyAlignment="1">
      <alignment vertical="center"/>
    </xf>
    <xf numFmtId="0" fontId="0" fillId="0" borderId="26" xfId="0" applyFont="1" applyBorder="1" applyAlignment="1">
      <alignment vertical="center" wrapText="1"/>
    </xf>
    <xf numFmtId="0" fontId="0" fillId="0" borderId="0" xfId="0" applyFont="1" applyBorder="1" applyAlignment="1">
      <alignment vertical="center" wrapText="1"/>
    </xf>
    <xf numFmtId="0" fontId="0" fillId="0" borderId="20" xfId="0" applyFont="1" applyBorder="1" applyAlignment="1">
      <alignment vertical="center" wrapText="1"/>
    </xf>
    <xf numFmtId="0" fontId="0" fillId="0" borderId="21" xfId="0" applyFont="1" applyBorder="1" applyAlignment="1">
      <alignment vertical="center" wrapText="1"/>
    </xf>
    <xf numFmtId="0" fontId="0" fillId="0" borderId="0" xfId="0" applyFont="1" applyAlignment="1">
      <alignment vertical="center" wrapText="1"/>
    </xf>
    <xf numFmtId="0" fontId="0" fillId="6" borderId="20" xfId="0" applyFill="1" applyBorder="1" applyAlignment="1">
      <alignment vertical="center"/>
    </xf>
    <xf numFmtId="0" fontId="0" fillId="0" borderId="21" xfId="0" applyFill="1" applyBorder="1" applyAlignment="1">
      <alignment vertical="center"/>
    </xf>
    <xf numFmtId="0" fontId="0" fillId="0" borderId="26" xfId="0" applyBorder="1" applyAlignment="1">
      <alignment vertical="center" wrapText="1"/>
    </xf>
    <xf numFmtId="0" fontId="0" fillId="0" borderId="0" xfId="0" applyFill="1" applyAlignment="1">
      <alignment vertical="center" wrapText="1"/>
    </xf>
    <xf numFmtId="201" fontId="75" fillId="0" borderId="20" xfId="0" applyNumberFormat="1" applyFont="1" applyFill="1" applyBorder="1" applyAlignment="1">
      <alignment horizontal="left" vertical="center" wrapText="1"/>
    </xf>
    <xf numFmtId="0" fontId="79" fillId="0" borderId="0" xfId="0" applyFont="1" applyFill="1" applyAlignment="1">
      <alignment vertical="center" wrapText="1"/>
    </xf>
    <xf numFmtId="0" fontId="78" fillId="0" borderId="20" xfId="0" applyFont="1" applyFill="1" applyBorder="1" applyAlignment="1">
      <alignment vertical="center" wrapText="1"/>
    </xf>
    <xf numFmtId="49" fontId="78" fillId="0" borderId="20" xfId="0" applyNumberFormat="1" applyFont="1" applyFill="1" applyBorder="1" applyAlignment="1">
      <alignment vertical="center" wrapText="1"/>
    </xf>
    <xf numFmtId="49" fontId="78" fillId="0" borderId="0" xfId="0" applyNumberFormat="1" applyFont="1" applyFill="1" applyBorder="1" applyAlignment="1">
      <alignment vertical="center" wrapText="1"/>
    </xf>
    <xf numFmtId="174" fontId="78" fillId="0" borderId="20" xfId="0" applyNumberFormat="1" applyFont="1" applyFill="1" applyBorder="1" applyAlignment="1">
      <alignment horizontal="left" vertical="center" wrapText="1"/>
    </xf>
    <xf numFmtId="0" fontId="0" fillId="0" borderId="20" xfId="0" applyFill="1" applyBorder="1" applyAlignment="1">
      <alignment vertical="center" wrapText="1"/>
    </xf>
    <xf numFmtId="0" fontId="0" fillId="0" borderId="0" xfId="0" applyFill="1" applyBorder="1" applyAlignment="1">
      <alignment vertical="center" wrapText="1"/>
    </xf>
    <xf numFmtId="0" fontId="0" fillId="0" borderId="1" xfId="0" applyFill="1" applyBorder="1" applyAlignment="1">
      <alignment vertical="center" wrapText="1"/>
    </xf>
    <xf numFmtId="0" fontId="7" fillId="0" borderId="0" xfId="0" applyFont="1" applyBorder="1" applyAlignment="1">
      <alignment horizontal="left" vertical="center" wrapText="1"/>
    </xf>
    <xf numFmtId="0" fontId="0" fillId="0" borderId="20" xfId="0" applyBorder="1" applyAlignment="1">
      <alignment vertical="center" wrapText="1"/>
    </xf>
    <xf numFmtId="0" fontId="0" fillId="0" borderId="0" xfId="0" applyAlignment="1">
      <alignment vertical="center" wrapText="1"/>
    </xf>
    <xf numFmtId="0" fontId="0" fillId="0" borderId="26" xfId="0" applyFill="1" applyBorder="1" applyAlignment="1">
      <alignment vertical="center" wrapText="1"/>
    </xf>
    <xf numFmtId="0" fontId="0" fillId="0" borderId="0" xfId="0" applyBorder="1" applyAlignment="1">
      <alignment vertical="center" wrapText="1"/>
    </xf>
    <xf numFmtId="0" fontId="0" fillId="0" borderId="1" xfId="0" applyBorder="1" applyAlignment="1">
      <alignment vertical="center" wrapText="1"/>
    </xf>
    <xf numFmtId="176" fontId="20" fillId="0" borderId="0" xfId="7" applyNumberFormat="1" applyFont="1" applyFill="1" applyAlignment="1" applyProtection="1">
      <alignment horizontal="center"/>
    </xf>
    <xf numFmtId="17" fontId="103" fillId="0" borderId="0" xfId="43" applyNumberFormat="1" applyFont="1"/>
    <xf numFmtId="165" fontId="106" fillId="0" borderId="0" xfId="7" applyNumberFormat="1" applyFont="1" applyFill="1" applyProtection="1"/>
    <xf numFmtId="10" fontId="106" fillId="0" borderId="0" xfId="7" applyNumberFormat="1" applyFont="1" applyFill="1" applyProtection="1"/>
    <xf numFmtId="166" fontId="106" fillId="0" borderId="0" xfId="7" applyNumberFormat="1" applyFont="1" applyFill="1" applyProtection="1"/>
    <xf numFmtId="166" fontId="106" fillId="0" borderId="0" xfId="7" applyNumberFormat="1" applyFont="1" applyFill="1" applyBorder="1" applyProtection="1"/>
    <xf numFmtId="177" fontId="106" fillId="0" borderId="0" xfId="7" applyNumberFormat="1" applyFont="1" applyFill="1" applyBorder="1" applyAlignment="1" applyProtection="1">
      <alignment horizontal="right"/>
    </xf>
    <xf numFmtId="180" fontId="106" fillId="0" borderId="0" xfId="2" applyNumberFormat="1" applyFont="1" applyFill="1" applyProtection="1"/>
    <xf numFmtId="10" fontId="106" fillId="0" borderId="0" xfId="6" quotePrefix="1" applyNumberFormat="1" applyFont="1" applyFill="1" applyAlignment="1" applyProtection="1">
      <alignment horizontal="center"/>
    </xf>
    <xf numFmtId="37" fontId="106" fillId="0" borderId="0" xfId="7" applyNumberFormat="1" applyFont="1" applyFill="1" applyBorder="1" applyProtection="1"/>
    <xf numFmtId="37" fontId="106" fillId="0" borderId="15" xfId="7" applyNumberFormat="1" applyFont="1" applyFill="1" applyBorder="1" applyProtection="1"/>
    <xf numFmtId="181" fontId="103" fillId="0" borderId="0" xfId="2" applyNumberFormat="1" applyFont="1" applyFill="1"/>
    <xf numFmtId="181" fontId="103" fillId="0" borderId="0" xfId="2" quotePrefix="1" applyNumberFormat="1" applyFont="1" applyFill="1"/>
    <xf numFmtId="39" fontId="106" fillId="0" borderId="0" xfId="10" quotePrefix="1" applyNumberFormat="1" applyFont="1" applyFill="1" applyBorder="1" applyProtection="1"/>
    <xf numFmtId="39" fontId="106" fillId="0" borderId="1" xfId="10" quotePrefix="1" applyNumberFormat="1" applyFont="1" applyFill="1" applyBorder="1" applyProtection="1"/>
    <xf numFmtId="0" fontId="17" fillId="0" borderId="0" xfId="10" applyFont="1" applyFill="1" applyAlignment="1">
      <alignment horizontal="center"/>
    </xf>
    <xf numFmtId="39" fontId="103" fillId="0" borderId="0" xfId="43" applyNumberFormat="1" applyFont="1" applyFill="1"/>
    <xf numFmtId="181" fontId="103" fillId="0" borderId="0" xfId="45" applyNumberFormat="1" applyFont="1" applyFill="1"/>
    <xf numFmtId="166" fontId="103" fillId="0" borderId="0" xfId="44" applyNumberFormat="1" applyFont="1" applyFill="1"/>
    <xf numFmtId="165" fontId="1" fillId="0" borderId="0" xfId="44" applyNumberFormat="1" applyFill="1"/>
    <xf numFmtId="0" fontId="1" fillId="0" borderId="0" xfId="43" applyFill="1"/>
    <xf numFmtId="44" fontId="103" fillId="0" borderId="0" xfId="27" applyFont="1" applyFill="1"/>
    <xf numFmtId="164" fontId="1" fillId="0" borderId="0" xfId="5" applyFont="1" applyBorder="1" applyAlignment="1">
      <alignment horizontal="center" wrapText="1"/>
    </xf>
    <xf numFmtId="209" fontId="1" fillId="0" borderId="0" xfId="5" applyNumberFormat="1" applyFont="1"/>
    <xf numFmtId="208" fontId="113" fillId="0" borderId="0" xfId="0" applyNumberFormat="1" applyFont="1" applyFill="1"/>
    <xf numFmtId="14" fontId="1" fillId="0" borderId="2" xfId="1" applyNumberFormat="1" applyFont="1" applyBorder="1" applyAlignment="1">
      <alignment horizontal="center"/>
    </xf>
    <xf numFmtId="0" fontId="0" fillId="6" borderId="20" xfId="0" applyFill="1" applyBorder="1" applyAlignment="1">
      <alignment horizontal="center" vertical="center"/>
    </xf>
    <xf numFmtId="0" fontId="0" fillId="6" borderId="20" xfId="0" applyFill="1" applyBorder="1" applyAlignment="1">
      <alignment vertical="center" wrapText="1"/>
    </xf>
    <xf numFmtId="0" fontId="0" fillId="6" borderId="21" xfId="0" applyFill="1" applyBorder="1" applyAlignment="1">
      <alignment vertical="center"/>
    </xf>
    <xf numFmtId="177" fontId="17" fillId="0" borderId="0" xfId="7" applyNumberFormat="1" applyFont="1" applyFill="1" applyProtection="1"/>
    <xf numFmtId="44" fontId="17" fillId="0" borderId="0" xfId="81" applyFont="1"/>
    <xf numFmtId="44" fontId="17" fillId="0" borderId="0" xfId="81" applyFont="1" applyAlignment="1">
      <alignment horizontal="left"/>
    </xf>
    <xf numFmtId="44" fontId="69" fillId="0" borderId="0" xfId="81" applyFont="1" applyFill="1" applyAlignment="1">
      <alignment horizontal="left"/>
    </xf>
    <xf numFmtId="44" fontId="69" fillId="0" borderId="0" xfId="81" applyFont="1" applyAlignment="1">
      <alignment horizontal="left"/>
    </xf>
    <xf numFmtId="44" fontId="17" fillId="0" borderId="10" xfId="10" applyNumberFormat="1" applyFont="1" applyBorder="1"/>
    <xf numFmtId="44" fontId="17" fillId="0" borderId="0" xfId="10" applyNumberFormat="1" applyFont="1" applyBorder="1"/>
    <xf numFmtId="7" fontId="17" fillId="0" borderId="10" xfId="10" applyNumberFormat="1" applyFont="1" applyBorder="1"/>
    <xf numFmtId="7" fontId="17" fillId="0" borderId="0" xfId="10" applyNumberFormat="1" applyFont="1" applyBorder="1"/>
    <xf numFmtId="0" fontId="113" fillId="0" borderId="0" xfId="0" applyFont="1"/>
    <xf numFmtId="192" fontId="113" fillId="0" borderId="0" xfId="0" applyNumberFormat="1" applyFont="1"/>
    <xf numFmtId="0" fontId="113" fillId="0" borderId="0" xfId="0" applyFont="1"/>
    <xf numFmtId="192" fontId="113" fillId="0" borderId="0" xfId="0" applyNumberFormat="1" applyFont="1"/>
    <xf numFmtId="0" fontId="113" fillId="0" borderId="0" xfId="0" applyFont="1"/>
    <xf numFmtId="192" fontId="113" fillId="0" borderId="0" xfId="0" applyNumberFormat="1" applyFont="1"/>
    <xf numFmtId="3" fontId="16" fillId="9" borderId="0" xfId="7" applyNumberFormat="1" applyFont="1" applyFill="1"/>
    <xf numFmtId="181" fontId="3" fillId="0" borderId="0" xfId="20" applyNumberFormat="1" applyFont="1"/>
    <xf numFmtId="40" fontId="17" fillId="0" borderId="0" xfId="7" applyNumberFormat="1" applyFont="1" applyFill="1"/>
    <xf numFmtId="10" fontId="17" fillId="0" borderId="0" xfId="47" applyNumberFormat="1" applyFont="1"/>
    <xf numFmtId="0" fontId="69" fillId="0" borderId="41" xfId="7" applyFont="1" applyFill="1" applyBorder="1"/>
    <xf numFmtId="0" fontId="17" fillId="0" borderId="34" xfId="7" applyFont="1" applyFill="1" applyBorder="1"/>
    <xf numFmtId="181" fontId="17" fillId="0" borderId="29" xfId="2" applyNumberFormat="1" applyFont="1" applyFill="1" applyBorder="1"/>
    <xf numFmtId="181" fontId="17" fillId="0" borderId="42" xfId="20" applyNumberFormat="1" applyFont="1" applyFill="1" applyBorder="1"/>
    <xf numFmtId="10" fontId="17" fillId="0" borderId="0" xfId="7" applyNumberFormat="1" applyFont="1" applyFill="1" applyBorder="1"/>
    <xf numFmtId="9" fontId="17" fillId="0" borderId="0" xfId="47" applyFont="1" applyFill="1" applyBorder="1"/>
    <xf numFmtId="167" fontId="17" fillId="0" borderId="43" xfId="47" applyNumberFormat="1" applyFont="1" applyFill="1" applyBorder="1"/>
    <xf numFmtId="10" fontId="20" fillId="0" borderId="0" xfId="7" applyNumberFormat="1" applyFont="1" applyFill="1" applyBorder="1"/>
    <xf numFmtId="181" fontId="20" fillId="0" borderId="42" xfId="20" applyNumberFormat="1" applyFont="1" applyFill="1" applyBorder="1"/>
    <xf numFmtId="181" fontId="17" fillId="0" borderId="43" xfId="2" applyNumberFormat="1" applyFont="1" applyFill="1" applyBorder="1"/>
    <xf numFmtId="165" fontId="17" fillId="0" borderId="0" xfId="7" applyNumberFormat="1" applyFont="1" applyFill="1" applyBorder="1"/>
    <xf numFmtId="37" fontId="17" fillId="0" borderId="44" xfId="7" applyNumberFormat="1" applyFont="1" applyFill="1" applyBorder="1"/>
    <xf numFmtId="0" fontId="17" fillId="0" borderId="19" xfId="7" applyFont="1" applyFill="1" applyBorder="1"/>
    <xf numFmtId="210" fontId="17" fillId="0" borderId="45" xfId="47" applyNumberFormat="1" applyFont="1" applyFill="1" applyBorder="1"/>
    <xf numFmtId="0" fontId="64" fillId="0" borderId="19" xfId="0" applyFont="1" applyBorder="1" applyAlignment="1">
      <alignment horizontal="left"/>
    </xf>
    <xf numFmtId="0" fontId="64" fillId="0" borderId="1" xfId="0" applyFont="1" applyBorder="1" applyAlignment="1">
      <alignment horizontal="left"/>
    </xf>
    <xf numFmtId="201" fontId="80" fillId="0" borderId="1" xfId="0" applyNumberFormat="1" applyFont="1" applyBorder="1" applyAlignment="1">
      <alignment horizontal="center"/>
    </xf>
    <xf numFmtId="0" fontId="80" fillId="0" borderId="0" xfId="0" applyFont="1" applyBorder="1" applyAlignment="1">
      <alignment horizontal="left"/>
    </xf>
    <xf numFmtId="164" fontId="73" fillId="0" borderId="1" xfId="1" applyNumberFormat="1" applyFont="1" applyBorder="1" applyAlignment="1">
      <alignment horizontal="center"/>
    </xf>
    <xf numFmtId="164" fontId="84" fillId="0" borderId="7" xfId="1" applyNumberFormat="1" applyFont="1" applyBorder="1" applyAlignment="1">
      <alignment horizontal="center" vertical="top"/>
    </xf>
    <xf numFmtId="0" fontId="80" fillId="0" borderId="1" xfId="0" applyFont="1" applyBorder="1" applyAlignment="1">
      <alignment horizontal="center"/>
    </xf>
    <xf numFmtId="0" fontId="13" fillId="0" borderId="8" xfId="1" applyNumberFormat="1" applyFont="1" applyBorder="1" applyAlignment="1">
      <alignment horizontal="center" vertical="center"/>
    </xf>
    <xf numFmtId="0" fontId="13" fillId="0" borderId="7" xfId="1" applyNumberFormat="1" applyFont="1" applyBorder="1" applyAlignment="1">
      <alignment horizontal="center" vertical="center"/>
    </xf>
    <xf numFmtId="0" fontId="13" fillId="0" borderId="6" xfId="1" applyNumberFormat="1" applyFont="1" applyBorder="1" applyAlignment="1">
      <alignment horizontal="center" vertical="center"/>
    </xf>
    <xf numFmtId="164" fontId="7" fillId="0" borderId="3" xfId="1" applyNumberFormat="1" applyFont="1" applyFill="1" applyBorder="1" applyAlignment="1">
      <alignment horizontal="center"/>
    </xf>
    <xf numFmtId="164" fontId="7" fillId="0" borderId="1" xfId="1" applyNumberFormat="1" applyFont="1" applyFill="1" applyBorder="1" applyAlignment="1">
      <alignment horizontal="center"/>
    </xf>
    <xf numFmtId="164" fontId="7" fillId="0" borderId="2" xfId="1" applyNumberFormat="1" applyFont="1" applyFill="1" applyBorder="1" applyAlignment="1">
      <alignment horizontal="center"/>
    </xf>
    <xf numFmtId="201" fontId="36" fillId="0" borderId="1" xfId="1" applyNumberFormat="1" applyFont="1" applyBorder="1" applyAlignment="1">
      <alignment horizontal="center"/>
    </xf>
    <xf numFmtId="0" fontId="82" fillId="0" borderId="7" xfId="0" applyFont="1" applyBorder="1" applyAlignment="1">
      <alignment horizontal="center" vertical="top"/>
    </xf>
    <xf numFmtId="164" fontId="84" fillId="0" borderId="0" xfId="1" applyNumberFormat="1" applyFont="1" applyBorder="1" applyAlignment="1">
      <alignment horizontal="center" vertical="top"/>
    </xf>
    <xf numFmtId="0" fontId="83" fillId="0" borderId="1" xfId="0" applyFont="1" applyBorder="1" applyAlignment="1">
      <alignment horizontal="left"/>
    </xf>
    <xf numFmtId="201" fontId="36" fillId="0" borderId="1" xfId="1" applyNumberFormat="1" applyFont="1" applyBorder="1" applyAlignment="1">
      <alignment horizontal="left"/>
    </xf>
    <xf numFmtId="201" fontId="36" fillId="0" borderId="1" xfId="1" quotePrefix="1" applyNumberFormat="1" applyFont="1" applyBorder="1" applyAlignment="1">
      <alignment horizontal="center"/>
    </xf>
    <xf numFmtId="164" fontId="13" fillId="0" borderId="8" xfId="1" applyNumberFormat="1" applyFont="1" applyBorder="1" applyAlignment="1">
      <alignment horizontal="center"/>
    </xf>
    <xf numFmtId="164" fontId="13" fillId="0" borderId="7" xfId="1" applyNumberFormat="1" applyFont="1" applyBorder="1" applyAlignment="1">
      <alignment horizontal="center"/>
    </xf>
    <xf numFmtId="164" fontId="13" fillId="0" borderId="6" xfId="1" applyNumberFormat="1" applyFont="1" applyBorder="1" applyAlignment="1">
      <alignment horizontal="center"/>
    </xf>
    <xf numFmtId="164" fontId="7" fillId="0" borderId="3" xfId="1" applyNumberFormat="1" applyFont="1" applyBorder="1" applyAlignment="1">
      <alignment horizontal="center"/>
    </xf>
    <xf numFmtId="164" fontId="7" fillId="0" borderId="1" xfId="1" applyNumberFormat="1" applyFont="1" applyBorder="1" applyAlignment="1">
      <alignment horizontal="center"/>
    </xf>
    <xf numFmtId="164" fontId="7" fillId="0" borderId="2" xfId="1" applyNumberFormat="1" applyFont="1" applyBorder="1" applyAlignment="1">
      <alignment horizontal="center"/>
    </xf>
    <xf numFmtId="0" fontId="13" fillId="0" borderId="8" xfId="1" applyFont="1" applyBorder="1" applyAlignment="1">
      <alignment horizontal="center"/>
    </xf>
    <xf numFmtId="0" fontId="13" fillId="0" borderId="7" xfId="1" applyFont="1" applyBorder="1" applyAlignment="1">
      <alignment horizontal="center"/>
    </xf>
    <xf numFmtId="0" fontId="13" fillId="0" borderId="6" xfId="1" applyFont="1" applyBorder="1" applyAlignment="1">
      <alignment horizontal="center"/>
    </xf>
    <xf numFmtId="0" fontId="7" fillId="0" borderId="1" xfId="1" applyFont="1" applyBorder="1" applyAlignment="1">
      <alignment horizontal="center"/>
    </xf>
    <xf numFmtId="0" fontId="38" fillId="0" borderId="0" xfId="7" applyFont="1" applyAlignment="1" applyProtection="1">
      <alignment horizontal="left" wrapText="1"/>
    </xf>
    <xf numFmtId="0" fontId="38" fillId="0" borderId="0" xfId="7" applyFont="1" applyFill="1" applyAlignment="1" applyProtection="1">
      <alignment horizontal="left" wrapText="1"/>
    </xf>
    <xf numFmtId="0" fontId="43" fillId="0" borderId="0" xfId="7" applyFont="1" applyAlignment="1" applyProtection="1">
      <alignment horizontal="left" vertical="top" wrapText="1"/>
    </xf>
    <xf numFmtId="0" fontId="43" fillId="0" borderId="0" xfId="7" applyFont="1" applyAlignment="1" applyProtection="1">
      <alignment horizontal="left" wrapText="1"/>
    </xf>
    <xf numFmtId="194" fontId="17" fillId="0" borderId="0" xfId="10" applyNumberFormat="1" applyFont="1" applyAlignment="1" applyProtection="1">
      <alignment horizontal="left"/>
    </xf>
    <xf numFmtId="0" fontId="17" fillId="0" borderId="0" xfId="10" applyFont="1" applyAlignment="1" applyProtection="1">
      <alignment horizontal="left"/>
    </xf>
    <xf numFmtId="0" fontId="5" fillId="0" borderId="0" xfId="18" applyNumberFormat="1" applyAlignment="1">
      <alignment wrapText="1"/>
    </xf>
    <xf numFmtId="164" fontId="5" fillId="0" borderId="0" xfId="18" applyAlignment="1">
      <alignment wrapText="1"/>
    </xf>
    <xf numFmtId="0" fontId="112" fillId="0" borderId="0" xfId="43" applyFont="1" applyAlignment="1">
      <alignment horizontal="center"/>
    </xf>
    <xf numFmtId="44" fontId="32" fillId="0" borderId="0" xfId="44" applyFont="1" applyAlignment="1">
      <alignment horizontal="center" wrapText="1"/>
    </xf>
    <xf numFmtId="0" fontId="7" fillId="0" borderId="8" xfId="1" applyFont="1" applyBorder="1" applyAlignment="1">
      <alignment horizontal="left" vertical="center"/>
    </xf>
    <xf numFmtId="0" fontId="7" fillId="0" borderId="5" xfId="1" applyFont="1" applyBorder="1" applyAlignment="1">
      <alignment horizontal="left" vertical="center"/>
    </xf>
    <xf numFmtId="0" fontId="7" fillId="0" borderId="3" xfId="1" applyFont="1" applyBorder="1" applyAlignment="1">
      <alignment horizontal="left" vertical="center"/>
    </xf>
    <xf numFmtId="0" fontId="7" fillId="0" borderId="0" xfId="1" applyFont="1" applyAlignment="1">
      <alignment horizontal="left" vertical="top"/>
    </xf>
    <xf numFmtId="0" fontId="49" fillId="0" borderId="0" xfId="9" applyAlignment="1" applyProtection="1">
      <alignment horizontal="left"/>
    </xf>
    <xf numFmtId="0" fontId="7" fillId="0" borderId="25" xfId="0" applyFont="1" applyBorder="1" applyAlignment="1">
      <alignment horizontal="left" vertical="center"/>
    </xf>
    <xf numFmtId="0" fontId="7" fillId="0" borderId="26" xfId="0" applyFont="1" applyBorder="1" applyAlignment="1">
      <alignment horizontal="left" vertical="center"/>
    </xf>
    <xf numFmtId="0" fontId="74" fillId="0" borderId="25" xfId="0" applyFont="1" applyBorder="1" applyAlignment="1">
      <alignment horizontal="left" vertical="center"/>
    </xf>
    <xf numFmtId="0" fontId="74" fillId="0" borderId="26" xfId="0" applyFont="1" applyBorder="1" applyAlignment="1">
      <alignment horizontal="left" vertical="center"/>
    </xf>
    <xf numFmtId="0" fontId="0" fillId="0" borderId="1" xfId="0" applyBorder="1" applyAlignment="1">
      <alignment horizontal="left" vertical="center"/>
    </xf>
    <xf numFmtId="0" fontId="0" fillId="0" borderId="7" xfId="0" applyBorder="1" applyAlignment="1">
      <alignment horizontal="left" vertical="center"/>
    </xf>
    <xf numFmtId="0" fontId="74" fillId="0" borderId="1" xfId="0" applyFont="1" applyBorder="1" applyAlignment="1">
      <alignment horizontal="left" vertical="center"/>
    </xf>
    <xf numFmtId="0" fontId="0" fillId="0" borderId="23" xfId="0" applyBorder="1" applyAlignment="1">
      <alignment horizontal="center" vertical="center"/>
    </xf>
    <xf numFmtId="0" fontId="0" fillId="0" borderId="22" xfId="0" applyBorder="1" applyAlignment="1">
      <alignment horizontal="center" vertical="center"/>
    </xf>
    <xf numFmtId="0" fontId="0" fillId="0" borderId="23" xfId="0" applyFont="1" applyBorder="1" applyAlignment="1">
      <alignment horizontal="center" vertical="center"/>
    </xf>
    <xf numFmtId="0" fontId="0" fillId="0" borderId="21" xfId="0" applyFont="1" applyBorder="1" applyAlignment="1">
      <alignment horizontal="center" vertical="center"/>
    </xf>
    <xf numFmtId="0" fontId="0" fillId="0" borderId="20" xfId="0" applyFont="1" applyBorder="1" applyAlignment="1">
      <alignment horizontal="center" vertical="center"/>
    </xf>
    <xf numFmtId="0" fontId="0" fillId="0" borderId="21" xfId="0" applyBorder="1" applyAlignment="1">
      <alignment horizontal="center" vertical="center"/>
    </xf>
    <xf numFmtId="0" fontId="0" fillId="0" borderId="20" xfId="0" applyBorder="1" applyAlignment="1">
      <alignment horizontal="center" vertical="center"/>
    </xf>
    <xf numFmtId="0" fontId="74" fillId="0" borderId="1" xfId="0" applyFont="1" applyFill="1" applyBorder="1" applyAlignment="1">
      <alignment horizontal="left" vertical="center"/>
    </xf>
    <xf numFmtId="0" fontId="7" fillId="0" borderId="0" xfId="0" applyFont="1" applyAlignment="1">
      <alignment horizontal="left" vertical="center"/>
    </xf>
    <xf numFmtId="0" fontId="7" fillId="0" borderId="20" xfId="0" applyFont="1" applyBorder="1" applyAlignment="1">
      <alignment horizontal="left" vertical="center"/>
    </xf>
    <xf numFmtId="0" fontId="0" fillId="0" borderId="23" xfId="0" applyBorder="1" applyAlignment="1">
      <alignment horizontal="center" vertical="center" textRotation="90"/>
    </xf>
    <xf numFmtId="0" fontId="0" fillId="0" borderId="21" xfId="0" applyBorder="1" applyAlignment="1">
      <alignment horizontal="center" vertical="center" textRotation="90"/>
    </xf>
    <xf numFmtId="0" fontId="0" fillId="0" borderId="22" xfId="0" applyBorder="1" applyAlignment="1">
      <alignment horizontal="center" vertical="center" textRotation="90"/>
    </xf>
    <xf numFmtId="0" fontId="92" fillId="0" borderId="17" xfId="48" applyFont="1" applyFill="1" applyBorder="1" applyAlignment="1">
      <alignment horizontal="center"/>
    </xf>
    <xf numFmtId="0" fontId="92" fillId="0" borderId="27" xfId="48" applyFont="1" applyFill="1" applyBorder="1" applyAlignment="1">
      <alignment horizontal="center"/>
    </xf>
    <xf numFmtId="0" fontId="92" fillId="0" borderId="16" xfId="48" applyFont="1" applyFill="1" applyBorder="1" applyAlignment="1">
      <alignment horizontal="center"/>
    </xf>
    <xf numFmtId="203" fontId="93" fillId="0" borderId="17" xfId="48" applyNumberFormat="1" applyFont="1" applyFill="1" applyBorder="1" applyAlignment="1">
      <alignment horizontal="center"/>
    </xf>
    <xf numFmtId="203" fontId="93" fillId="0" borderId="27" xfId="48" applyNumberFormat="1" applyFont="1" applyFill="1" applyBorder="1" applyAlignment="1">
      <alignment horizontal="center"/>
    </xf>
  </cellXfs>
  <cellStyles count="82">
    <cellStyle name="Comma" xfId="20" builtinId="3"/>
    <cellStyle name="Comma 2" xfId="2"/>
    <cellStyle name="Comma 2 2" xfId="26"/>
    <cellStyle name="Comma 2 3" xfId="24"/>
    <cellStyle name="Comma 3" xfId="12"/>
    <cellStyle name="Comma 4" xfId="31"/>
    <cellStyle name="Comma 5" xfId="23"/>
    <cellStyle name="Comma 6" xfId="35"/>
    <cellStyle name="Comma 6 2" xfId="45"/>
    <cellStyle name="Comma 7" xfId="42"/>
    <cellStyle name="ContentsHyperlink" xfId="3"/>
    <cellStyle name="ContentsHyperlink 2" xfId="40"/>
    <cellStyle name="ContentsHyperlink 3" xfId="38"/>
    <cellStyle name="Currency" xfId="81" builtinId="4"/>
    <cellStyle name="Currency 2" xfId="4"/>
    <cellStyle name="Currency 2 2" xfId="27"/>
    <cellStyle name="Currency 3" xfId="11"/>
    <cellStyle name="Currency 4" xfId="34"/>
    <cellStyle name="Currency 4 2" xfId="44"/>
    <cellStyle name="Hyperlink" xfId="9" builtinId="8"/>
    <cellStyle name="Hyperlink 2" xfId="19"/>
    <cellStyle name="Hyperlink 3" xfId="30"/>
    <cellStyle name="Hyperlink 4" xfId="41"/>
    <cellStyle name="Hyperlink 5" xfId="50"/>
    <cellStyle name="Normal" xfId="0" builtinId="0"/>
    <cellStyle name="Normal 10" xfId="39"/>
    <cellStyle name="Normal 11" xfId="48"/>
    <cellStyle name="Normal 11 2" xfId="80"/>
    <cellStyle name="Normal 2" xfId="1"/>
    <cellStyle name="Normal 2 2" xfId="7"/>
    <cellStyle name="Normal 2 2 2" xfId="29"/>
    <cellStyle name="Normal 2 3" xfId="79"/>
    <cellStyle name="Normal 3" xfId="10"/>
    <cellStyle name="Normal 3 2" xfId="49"/>
    <cellStyle name="Normal 4" xfId="18"/>
    <cellStyle name="Normal 4 2" xfId="78"/>
    <cellStyle name="Normal 5" xfId="21"/>
    <cellStyle name="Normal 5 2" xfId="32"/>
    <cellStyle name="Normal 6" xfId="25"/>
    <cellStyle name="Normal 7" xfId="22"/>
    <cellStyle name="Normal 8" xfId="33"/>
    <cellStyle name="Normal 8 2" xfId="43"/>
    <cellStyle name="Normal 9" xfId="36"/>
    <cellStyle name="Normal 9 2" xfId="46"/>
    <cellStyle name="Normal_D2 (Purchase Volumes)" xfId="13"/>
    <cellStyle name="Normal_D3 (Purchase Costs)" xfId="14"/>
    <cellStyle name="Normal_KIS" xfId="17"/>
    <cellStyle name="Normal_KISa" xfId="5"/>
    <cellStyle name="Normal_Net Uncollectible Gas Cost thru Nov-10" xfId="15"/>
    <cellStyle name="Normal_Sheet1" xfId="16"/>
    <cellStyle name="Normal_WP-E.1" xfId="37"/>
    <cellStyle name="Percent" xfId="47" builtinId="5"/>
    <cellStyle name="Percent 2" xfId="6"/>
    <cellStyle name="Percent 2 2" xfId="28"/>
    <cellStyle name="Percent 3" xfId="8"/>
    <cellStyle name="SAPBorder" xfId="51"/>
    <cellStyle name="SAPDataCell" xfId="52"/>
    <cellStyle name="SAPDataTotalCell" xfId="53"/>
    <cellStyle name="SAPDimensionCell" xfId="54"/>
    <cellStyle name="SAPEditableDataCell" xfId="55"/>
    <cellStyle name="SAPEditableDataTotalCell" xfId="56"/>
    <cellStyle name="SAPEmphasized" xfId="57"/>
    <cellStyle name="SAPExceptionLevel1" xfId="58"/>
    <cellStyle name="SAPExceptionLevel2" xfId="59"/>
    <cellStyle name="SAPExceptionLevel3" xfId="60"/>
    <cellStyle name="SAPExceptionLevel4" xfId="61"/>
    <cellStyle name="SAPExceptionLevel5" xfId="62"/>
    <cellStyle name="SAPExceptionLevel6" xfId="63"/>
    <cellStyle name="SAPExceptionLevel7" xfId="64"/>
    <cellStyle name="SAPExceptionLevel8" xfId="65"/>
    <cellStyle name="SAPExceptionLevel9" xfId="66"/>
    <cellStyle name="SAPHierarchyCell0" xfId="67"/>
    <cellStyle name="SAPHierarchyCell1" xfId="68"/>
    <cellStyle name="SAPHierarchyCell2" xfId="69"/>
    <cellStyle name="SAPHierarchyCell3" xfId="70"/>
    <cellStyle name="SAPHierarchyCell4" xfId="71"/>
    <cellStyle name="SAPLockedDataCell" xfId="72"/>
    <cellStyle name="SAPLockedDataTotalCell" xfId="73"/>
    <cellStyle name="SAPMemberCell" xfId="74"/>
    <cellStyle name="SAPMemberTotalCell" xfId="75"/>
    <cellStyle name="SAPReadonlyDataCell" xfId="76"/>
    <cellStyle name="SAPReadonlyDataTotalCell" xfId="77"/>
  </cellStyles>
  <dxfs count="0"/>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14</xdr:col>
      <xdr:colOff>0</xdr:colOff>
      <xdr:row>19</xdr:row>
      <xdr:rowOff>0</xdr:rowOff>
    </xdr:from>
    <xdr:to>
      <xdr:col>24</xdr:col>
      <xdr:colOff>525780</xdr:colOff>
      <xdr:row>25</xdr:row>
      <xdr:rowOff>175260</xdr:rowOff>
    </xdr:to>
    <xdr:pic>
      <xdr:nvPicPr>
        <xdr:cNvPr id="2" name="Picture 2" descr="191285611@23032011-13E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10700" y="3421380"/>
          <a:ext cx="6858000" cy="122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8</xdr:row>
      <xdr:rowOff>19050</xdr:rowOff>
    </xdr:from>
    <xdr:to>
      <xdr:col>13</xdr:col>
      <xdr:colOff>590550</xdr:colOff>
      <xdr:row>14</xdr:row>
      <xdr:rowOff>47625</xdr:rowOff>
    </xdr:to>
    <xdr:sp macro="" textlink="">
      <xdr:nvSpPr>
        <xdr:cNvPr id="2" name="AutoShape 14"/>
        <xdr:cNvSpPr>
          <a:spLocks noChangeArrowheads="1"/>
        </xdr:cNvSpPr>
      </xdr:nvSpPr>
      <xdr:spPr bwMode="auto">
        <a:xfrm>
          <a:off x="11134725" y="1314450"/>
          <a:ext cx="542925" cy="1019175"/>
        </a:xfrm>
        <a:prstGeom prst="curvedLeftArrow">
          <a:avLst>
            <a:gd name="adj1" fmla="val 37544"/>
            <a:gd name="adj2" fmla="val 75088"/>
            <a:gd name="adj3" fmla="val 33333"/>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xdr:colOff>
      <xdr:row>0</xdr:row>
      <xdr:rowOff>1</xdr:rowOff>
    </xdr:from>
    <xdr:to>
      <xdr:col>11</xdr:col>
      <xdr:colOff>600075</xdr:colOff>
      <xdr:row>15</xdr:row>
      <xdr:rowOff>123825</xdr:rowOff>
    </xdr:to>
    <xdr:pic>
      <xdr:nvPicPr>
        <xdr:cNvPr id="4" name="Picture 3"/>
        <xdr:cNvPicPr>
          <a:picLocks noChangeAspect="1"/>
        </xdr:cNvPicPr>
      </xdr:nvPicPr>
      <xdr:blipFill rotWithShape="1">
        <a:blip xmlns:r="http://schemas.openxmlformats.org/officeDocument/2006/relationships" r:embed="rId1"/>
        <a:srcRect l="34692" t="27792" r="23740" b="39800"/>
        <a:stretch/>
      </xdr:blipFill>
      <xdr:spPr>
        <a:xfrm>
          <a:off x="3048001" y="1"/>
          <a:ext cx="4257674" cy="25526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511968</xdr:colOff>
      <xdr:row>0</xdr:row>
      <xdr:rowOff>130968</xdr:rowOff>
    </xdr:from>
    <xdr:to>
      <xdr:col>24</xdr:col>
      <xdr:colOff>500063</xdr:colOff>
      <xdr:row>24</xdr:row>
      <xdr:rowOff>119060</xdr:rowOff>
    </xdr:to>
    <xdr:pic>
      <xdr:nvPicPr>
        <xdr:cNvPr id="5" name="Picture 4"/>
        <xdr:cNvPicPr>
          <a:picLocks noChangeAspect="1"/>
        </xdr:cNvPicPr>
      </xdr:nvPicPr>
      <xdr:blipFill rotWithShape="1">
        <a:blip xmlns:r="http://schemas.openxmlformats.org/officeDocument/2006/relationships" r:embed="rId1"/>
        <a:srcRect l="36788" t="26566" r="25186" b="39776"/>
        <a:stretch/>
      </xdr:blipFill>
      <xdr:spPr>
        <a:xfrm>
          <a:off x="8560593" y="130968"/>
          <a:ext cx="8489157" cy="4060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w1wn18\shsr_workgroups\Rate%20Administration\Kentucky\Qtrly%20Filings\2007-05%20GCA%20Filing\KIS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ate%20Administration/5-Jurisdictional%20Files/Kentucky/GCA%20Filing/Current%20Filing/Exhibit%20D%20(Correction%20Factor%20CF%20Calculation)%20incl%20Oct-10%20Revis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w1wn18\Shsr_Workgroups\Rate%20Administration\Kentucky\Qtrly%20Filings\KIS%20for%20February%20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w1wn18\Shsr_Workgroups\Rate%20Administration\Kentucky\Cashout%20Developmen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w1wn18\Shsr_Workgroups\Rate%20Administration\5-Jurisdictional%20Files\Kentucky\Cashouts\2008%20Cashouts\2008-11%20Cashou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ate%20Administration/5-Jurisdictional%20Files/Kentucky/GCA%20Filing/Previous%20Filings/2013-02/Kentucky%20GCA%20Filing%202013-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ate%20Administration/5-Jurisdictional%20Files/Kentucky/GCA%20Filing/Previous%20Filings/2013-02/Exhibit%20C%20(Rates%20used%20in%20the%20Expected%20Gas%20Cost%20EGC%20Calcul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ate%20Administration/5-Jurisdictional%20Files/Kentucky/GCA%20Filing/Current%20Filing/Exhibit%20C%20(Rates%20used%20in%20the%20Expected%20Gas%20Cost%20EGC%20Calcul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FW1WN18\ShSr_WORKGROUPS\Rate%20Administration\Kentucky\LVS%20Tariffs\LVS%20Developmen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ate%20Administration/5-Jurisdictional%20Files/Kentucky/GCA%20Filing/Previous%20Filings/2013-02/Exhibit%20D%20(Correction%20Factor%20CF%20Calculation)%20incl%20Oct-10%20Revis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 Contents"/>
      <sheetName val="Macros"/>
      <sheetName val="Documentation"/>
      <sheetName val="Filing Package"/>
      <sheetName val="1. MAIN INPUTS"/>
      <sheetName val="tbl Tariff Revisions"/>
      <sheetName val="2. VOLUMES"/>
      <sheetName val="Purchases Tex"/>
      <sheetName val="Purchases Ten"/>
      <sheetName val="Purchases Trk"/>
      <sheetName val="Cont. NO210"/>
      <sheetName val="Cont. NO340"/>
      <sheetName val="Cont. NO435"/>
      <sheetName val="Cont. 3770"/>
      <sheetName val="Cont. 3817"/>
      <sheetName val="Cont.3355"/>
      <sheetName val="Cont. 3355.1"/>
      <sheetName val="Cont. 3819"/>
      <sheetName val="Cont.9213"/>
      <sheetName val="Tex Res"/>
      <sheetName val="Cont. T13687"/>
      <sheetName val="Cont. 2546"/>
      <sheetName val="Cont. 2546.1"/>
      <sheetName val="Cont. 2548"/>
      <sheetName val="Cont. 2548.1"/>
      <sheetName val="Cont. 2550"/>
      <sheetName val="Cont. 2550.1"/>
      <sheetName val="Cont. 2551"/>
      <sheetName val="Cont. 2551.1"/>
      <sheetName val="Cont. 2385"/>
      <sheetName val="7. Trunkline Gas"/>
      <sheetName val="Cont. 014573"/>
      <sheetName val="Trunk Res Fee"/>
      <sheetName val="Trunk Supp Res Fee"/>
      <sheetName val="Trunk Rates"/>
      <sheetName val="3. GCA HISTORY"/>
      <sheetName val="gca G1"/>
      <sheetName val="gca G1 HLF"/>
      <sheetName val="gca LVS1"/>
      <sheetName val="gca LVS1 HLF"/>
      <sheetName val="gca G2"/>
      <sheetName val="gca LVS2"/>
      <sheetName val="gca T2 G1"/>
      <sheetName val="gca T2 G1 HLF"/>
      <sheetName val="gca T4"/>
      <sheetName val="gca T2 G2"/>
      <sheetName val="gca T3"/>
      <sheetName val="4. REFUNDS"/>
      <sheetName val="R_Sales"/>
      <sheetName val="R_Transport"/>
      <sheetName val="CF"/>
      <sheetName val="PBRRF"/>
      <sheetName val="5.RATES_WKG"/>
      <sheetName val="G 1"/>
      <sheetName val="G1_HLF"/>
      <sheetName val="LVS 1"/>
      <sheetName val="LVS 1_HLF"/>
      <sheetName val="G 2"/>
      <sheetName val="LVS 2"/>
      <sheetName val="T2_G1"/>
      <sheetName val="T2_G1_HLF"/>
      <sheetName val="T4"/>
      <sheetName val="T2_G2"/>
      <sheetName val="T3"/>
      <sheetName val="6. RATES_TEXAS"/>
      <sheetName val="NNS demand"/>
      <sheetName val="NNS commodity"/>
      <sheetName val="FT demand"/>
      <sheetName val="FT commodity"/>
      <sheetName val="Fuel"/>
      <sheetName val="Tex Cash"/>
      <sheetName val="7. RATES_TENN"/>
      <sheetName val="FT GS"/>
      <sheetName val="FT A"/>
      <sheetName val="FT G"/>
      <sheetName val="FT G C"/>
      <sheetName val="S S"/>
      <sheetName val="Fuel_tenn"/>
      <sheetName val="Ten Cash"/>
      <sheetName val="8. EXHIBITS"/>
      <sheetName val="Sheet 4"/>
      <sheetName val="Sheet 5"/>
      <sheetName val="Sheet 6"/>
      <sheetName val="A.1"/>
      <sheetName val="A.2"/>
      <sheetName val="A.3"/>
      <sheetName val="A.4"/>
      <sheetName val="A.5"/>
      <sheetName val="B.1"/>
      <sheetName val="B.2"/>
      <sheetName val="B.3"/>
      <sheetName val="B.4"/>
      <sheetName val="B.5"/>
      <sheetName val="B.6"/>
      <sheetName val="B.7"/>
      <sheetName val="B.8"/>
      <sheetName val="B.9"/>
      <sheetName val="B.10"/>
      <sheetName val="B.11"/>
      <sheetName val="C.12"/>
      <sheetName val="C.13"/>
      <sheetName val="E.1(PBR or Refund)"/>
      <sheetName val="E.1 Certificate"/>
      <sheetName val="F.1"/>
      <sheetName val="F.2"/>
      <sheetName val="Module1"/>
      <sheetName val="Module2"/>
      <sheetName val="Module3"/>
      <sheetName val="Module4"/>
    </sheetNames>
    <sheetDataSet>
      <sheetData sheetId="0">
        <row r="1">
          <cell r="A1" t="str">
            <v>Contents</v>
          </cell>
        </row>
      </sheetData>
      <sheetData sheetId="1"/>
      <sheetData sheetId="2"/>
      <sheetData sheetId="3"/>
      <sheetData sheetId="4">
        <row r="1">
          <cell r="F1">
            <v>39091</v>
          </cell>
        </row>
        <row r="2">
          <cell r="F2" t="str">
            <v>Draft</v>
          </cell>
        </row>
        <row r="5">
          <cell r="F5" t="str">
            <v>2006-00000</v>
          </cell>
          <cell r="J5" t="str">
            <v>2006-00428</v>
          </cell>
          <cell r="Q5" t="str">
            <v>2006-0</v>
          </cell>
        </row>
        <row r="7">
          <cell r="F7" t="str">
            <v>2006-00428</v>
          </cell>
        </row>
        <row r="9">
          <cell r="F9">
            <v>39114</v>
          </cell>
          <cell r="J9">
            <v>39022</v>
          </cell>
        </row>
        <row r="11">
          <cell r="F11" t="str">
            <v>For Month of February, 2007</v>
          </cell>
        </row>
        <row r="12">
          <cell r="F12" t="str">
            <v>February 1, 2007</v>
          </cell>
        </row>
        <row r="13">
          <cell r="F13" t="str">
            <v>Winter</v>
          </cell>
        </row>
        <row r="18">
          <cell r="F18">
            <v>39022</v>
          </cell>
          <cell r="J18">
            <v>39022</v>
          </cell>
        </row>
        <row r="19">
          <cell r="Q19" t="str">
            <v>2006-0</v>
          </cell>
        </row>
        <row r="21">
          <cell r="F21" t="str">
            <v>February 2004</v>
          </cell>
          <cell r="Q21" t="str">
            <v>February</v>
          </cell>
          <cell r="R21">
            <v>1</v>
          </cell>
          <cell r="S21">
            <v>107</v>
          </cell>
          <cell r="T21" t="str">
            <v>107</v>
          </cell>
        </row>
        <row r="22">
          <cell r="N22" t="str">
            <v>6</v>
          </cell>
        </row>
        <row r="23">
          <cell r="F23">
            <v>35004</v>
          </cell>
          <cell r="Q23">
            <v>10</v>
          </cell>
          <cell r="S23" t="str">
            <v>October</v>
          </cell>
          <cell r="T23" t="str">
            <v>95</v>
          </cell>
        </row>
        <row r="24">
          <cell r="F24">
            <v>34639</v>
          </cell>
        </row>
        <row r="27">
          <cell r="F27">
            <v>39479</v>
          </cell>
        </row>
        <row r="185">
          <cell r="H185" t="str">
            <v>January</v>
          </cell>
          <cell r="J185">
            <v>1</v>
          </cell>
          <cell r="K185" t="str">
            <v>Winter</v>
          </cell>
        </row>
        <row r="186">
          <cell r="H186" t="str">
            <v>February</v>
          </cell>
          <cell r="J186">
            <v>2</v>
          </cell>
          <cell r="K186" t="str">
            <v>Winter</v>
          </cell>
        </row>
        <row r="187">
          <cell r="H187" t="str">
            <v>March</v>
          </cell>
          <cell r="J187">
            <v>3</v>
          </cell>
          <cell r="K187" t="str">
            <v>Winter</v>
          </cell>
        </row>
        <row r="188">
          <cell r="H188" t="str">
            <v>April</v>
          </cell>
          <cell r="J188">
            <v>4</v>
          </cell>
          <cell r="K188" t="str">
            <v>Summer</v>
          </cell>
        </row>
        <row r="189">
          <cell r="H189" t="str">
            <v>May</v>
          </cell>
          <cell r="J189">
            <v>5</v>
          </cell>
          <cell r="K189" t="str">
            <v>Summer</v>
          </cell>
        </row>
        <row r="190">
          <cell r="H190" t="str">
            <v>June</v>
          </cell>
          <cell r="J190">
            <v>6</v>
          </cell>
          <cell r="K190" t="str">
            <v>Summer</v>
          </cell>
        </row>
        <row r="191">
          <cell r="H191" t="str">
            <v>July</v>
          </cell>
          <cell r="J191">
            <v>7</v>
          </cell>
          <cell r="K191" t="str">
            <v>Summer</v>
          </cell>
        </row>
        <row r="192">
          <cell r="H192" t="str">
            <v>August</v>
          </cell>
          <cell r="J192">
            <v>8</v>
          </cell>
          <cell r="K192" t="str">
            <v>Summer</v>
          </cell>
        </row>
        <row r="193">
          <cell r="H193" t="str">
            <v>September</v>
          </cell>
          <cell r="J193">
            <v>9</v>
          </cell>
          <cell r="K193" t="str">
            <v>Summer</v>
          </cell>
        </row>
        <row r="194">
          <cell r="H194" t="str">
            <v>October</v>
          </cell>
          <cell r="J194">
            <v>10</v>
          </cell>
          <cell r="K194" t="str">
            <v>Summer</v>
          </cell>
        </row>
        <row r="195">
          <cell r="H195" t="str">
            <v>November</v>
          </cell>
          <cell r="J195">
            <v>11</v>
          </cell>
          <cell r="K195" t="str">
            <v>Winter</v>
          </cell>
        </row>
        <row r="196">
          <cell r="H196" t="str">
            <v>December</v>
          </cell>
          <cell r="J196">
            <v>12</v>
          </cell>
          <cell r="K196" t="str">
            <v>Winter</v>
          </cell>
        </row>
      </sheetData>
      <sheetData sheetId="5">
        <row r="3">
          <cell r="A3" t="str">
            <v>Month</v>
          </cell>
        </row>
      </sheetData>
      <sheetData sheetId="6"/>
      <sheetData sheetId="7">
        <row r="9">
          <cell r="A9">
            <v>35065</v>
          </cell>
          <cell r="B9">
            <v>2742500</v>
          </cell>
          <cell r="C9">
            <v>741000</v>
          </cell>
          <cell r="D9">
            <v>40000</v>
          </cell>
          <cell r="E9">
            <v>3523500</v>
          </cell>
          <cell r="G9">
            <v>950000</v>
          </cell>
          <cell r="H9">
            <v>-20000</v>
          </cell>
          <cell r="I9">
            <v>930000</v>
          </cell>
          <cell r="K9">
            <v>-20000</v>
          </cell>
          <cell r="L9">
            <v>1100000</v>
          </cell>
          <cell r="M9">
            <v>1080000</v>
          </cell>
          <cell r="O9">
            <v>46400</v>
          </cell>
          <cell r="Q9">
            <v>5579900</v>
          </cell>
          <cell r="S9">
            <v>2</v>
          </cell>
          <cell r="T9">
            <v>1.0249999999999999</v>
          </cell>
        </row>
        <row r="10">
          <cell r="A10">
            <v>35096</v>
          </cell>
          <cell r="B10">
            <v>2728450</v>
          </cell>
          <cell r="C10">
            <v>693900</v>
          </cell>
          <cell r="D10">
            <v>10000</v>
          </cell>
          <cell r="E10">
            <v>3432350</v>
          </cell>
          <cell r="G10">
            <v>850000</v>
          </cell>
          <cell r="H10">
            <v>-10000</v>
          </cell>
          <cell r="I10">
            <v>840000</v>
          </cell>
          <cell r="K10">
            <v>0</v>
          </cell>
          <cell r="L10">
            <v>1000000</v>
          </cell>
          <cell r="M10">
            <v>1000000</v>
          </cell>
          <cell r="O10">
            <v>46400</v>
          </cell>
          <cell r="Q10">
            <v>5318750</v>
          </cell>
          <cell r="S10">
            <v>2.5</v>
          </cell>
          <cell r="T10">
            <v>1.0249999999999999</v>
          </cell>
        </row>
        <row r="11">
          <cell r="A11">
            <v>35125</v>
          </cell>
          <cell r="B11">
            <v>1844500</v>
          </cell>
          <cell r="C11">
            <v>682000</v>
          </cell>
          <cell r="D11">
            <v>0</v>
          </cell>
          <cell r="E11">
            <v>2526500</v>
          </cell>
          <cell r="G11">
            <v>334860</v>
          </cell>
          <cell r="H11">
            <v>0</v>
          </cell>
          <cell r="I11">
            <v>334860</v>
          </cell>
          <cell r="K11">
            <v>0</v>
          </cell>
          <cell r="L11">
            <v>500000</v>
          </cell>
          <cell r="M11">
            <v>500000</v>
          </cell>
          <cell r="O11">
            <v>25500</v>
          </cell>
          <cell r="Q11">
            <v>3386860</v>
          </cell>
          <cell r="S11">
            <v>2</v>
          </cell>
          <cell r="T11">
            <v>1.0249999999999999</v>
          </cell>
        </row>
        <row r="12">
          <cell r="A12">
            <v>35156</v>
          </cell>
          <cell r="B12">
            <v>852500</v>
          </cell>
          <cell r="C12">
            <v>465000</v>
          </cell>
          <cell r="D12">
            <v>750000</v>
          </cell>
          <cell r="E12">
            <v>2067500</v>
          </cell>
          <cell r="G12">
            <v>0</v>
          </cell>
          <cell r="H12">
            <v>-300000</v>
          </cell>
          <cell r="I12">
            <v>-300000</v>
          </cell>
          <cell r="K12">
            <v>-450000</v>
          </cell>
          <cell r="L12">
            <v>0</v>
          </cell>
          <cell r="M12">
            <v>-450000</v>
          </cell>
          <cell r="O12">
            <v>50000</v>
          </cell>
          <cell r="Q12">
            <v>1367500</v>
          </cell>
          <cell r="S12">
            <v>2.4</v>
          </cell>
          <cell r="T12">
            <v>1.0249999999999999</v>
          </cell>
        </row>
        <row r="13">
          <cell r="A13">
            <v>35186</v>
          </cell>
          <cell r="B13">
            <v>759500</v>
          </cell>
          <cell r="C13">
            <v>356500</v>
          </cell>
          <cell r="D13">
            <v>1200000</v>
          </cell>
          <cell r="E13">
            <v>2316000</v>
          </cell>
          <cell r="G13">
            <v>0</v>
          </cell>
          <cell r="H13">
            <v>-700000</v>
          </cell>
          <cell r="I13">
            <v>-700000</v>
          </cell>
          <cell r="K13">
            <v>-500000</v>
          </cell>
          <cell r="L13">
            <v>0</v>
          </cell>
          <cell r="M13">
            <v>-500000</v>
          </cell>
          <cell r="O13">
            <v>50000</v>
          </cell>
          <cell r="Q13">
            <v>1166000</v>
          </cell>
          <cell r="S13">
            <v>2.5</v>
          </cell>
          <cell r="T13">
            <v>1.0249999999999999</v>
          </cell>
        </row>
        <row r="14">
          <cell r="A14">
            <v>35217</v>
          </cell>
          <cell r="B14">
            <v>935000</v>
          </cell>
          <cell r="C14">
            <v>950000</v>
          </cell>
          <cell r="D14">
            <v>1350000</v>
          </cell>
          <cell r="E14">
            <v>3235000</v>
          </cell>
          <cell r="G14">
            <v>0</v>
          </cell>
          <cell r="H14">
            <v>-550000</v>
          </cell>
          <cell r="I14">
            <v>-550000</v>
          </cell>
          <cell r="K14">
            <v>-800000</v>
          </cell>
          <cell r="L14">
            <v>0</v>
          </cell>
          <cell r="M14">
            <v>-800000</v>
          </cell>
          <cell r="O14">
            <v>40000</v>
          </cell>
          <cell r="Q14">
            <v>1925000</v>
          </cell>
          <cell r="S14">
            <v>2.4500000000000002</v>
          </cell>
          <cell r="T14">
            <v>1.0249999999999999</v>
          </cell>
        </row>
        <row r="15">
          <cell r="A15">
            <v>35247</v>
          </cell>
          <cell r="B15">
            <v>595000</v>
          </cell>
          <cell r="C15">
            <v>155000</v>
          </cell>
          <cell r="D15">
            <v>180000</v>
          </cell>
          <cell r="E15">
            <v>930000</v>
          </cell>
          <cell r="G15">
            <v>0</v>
          </cell>
          <cell r="H15">
            <v>-180000</v>
          </cell>
          <cell r="I15">
            <v>-180000</v>
          </cell>
          <cell r="K15">
            <v>0</v>
          </cell>
          <cell r="L15">
            <v>0</v>
          </cell>
          <cell r="M15">
            <v>0</v>
          </cell>
          <cell r="O15">
            <v>40000</v>
          </cell>
          <cell r="Q15">
            <v>790000</v>
          </cell>
          <cell r="S15">
            <v>2.2999999999999998</v>
          </cell>
          <cell r="T15">
            <v>1.0249999999999999</v>
          </cell>
        </row>
        <row r="16">
          <cell r="A16">
            <v>35278</v>
          </cell>
          <cell r="B16">
            <v>329760</v>
          </cell>
          <cell r="C16">
            <v>155000</v>
          </cell>
          <cell r="D16">
            <v>1232000</v>
          </cell>
          <cell r="E16">
            <v>1716760</v>
          </cell>
          <cell r="G16">
            <v>0</v>
          </cell>
          <cell r="H16">
            <v>-669000</v>
          </cell>
          <cell r="I16">
            <v>-669000</v>
          </cell>
          <cell r="K16">
            <v>-563000</v>
          </cell>
          <cell r="L16">
            <v>0</v>
          </cell>
          <cell r="M16">
            <v>-563000</v>
          </cell>
          <cell r="O16">
            <v>40000</v>
          </cell>
          <cell r="Q16">
            <v>524760</v>
          </cell>
          <cell r="S16">
            <v>2.75</v>
          </cell>
          <cell r="T16">
            <v>1.0249999999999999</v>
          </cell>
        </row>
        <row r="17">
          <cell r="A17">
            <v>35309</v>
          </cell>
          <cell r="B17">
            <v>600000</v>
          </cell>
          <cell r="C17">
            <v>150000</v>
          </cell>
          <cell r="D17">
            <v>950000</v>
          </cell>
          <cell r="E17">
            <v>1700000</v>
          </cell>
          <cell r="G17">
            <v>0</v>
          </cell>
          <cell r="H17">
            <v>-354000</v>
          </cell>
          <cell r="I17">
            <v>-354000</v>
          </cell>
          <cell r="K17">
            <v>-596000</v>
          </cell>
          <cell r="L17">
            <v>0</v>
          </cell>
          <cell r="M17">
            <v>-596000</v>
          </cell>
          <cell r="O17">
            <v>40000</v>
          </cell>
          <cell r="Q17">
            <v>790000</v>
          </cell>
          <cell r="S17">
            <v>2.35</v>
          </cell>
          <cell r="T17">
            <v>1.0249999999999999</v>
          </cell>
        </row>
        <row r="18">
          <cell r="A18">
            <v>35339</v>
          </cell>
          <cell r="B18">
            <v>840000</v>
          </cell>
          <cell r="C18">
            <v>155000</v>
          </cell>
          <cell r="D18">
            <v>500000</v>
          </cell>
          <cell r="E18">
            <v>1495000</v>
          </cell>
          <cell r="G18">
            <v>0</v>
          </cell>
          <cell r="H18">
            <v>-200000</v>
          </cell>
          <cell r="I18">
            <v>-200000</v>
          </cell>
          <cell r="K18">
            <v>-300000</v>
          </cell>
          <cell r="L18">
            <v>0</v>
          </cell>
          <cell r="M18">
            <v>-300000</v>
          </cell>
          <cell r="O18">
            <v>40000</v>
          </cell>
          <cell r="Q18">
            <v>1035000</v>
          </cell>
          <cell r="S18">
            <v>2.15</v>
          </cell>
          <cell r="T18">
            <v>1.0249999999999999</v>
          </cell>
        </row>
        <row r="19">
          <cell r="A19">
            <v>35370</v>
          </cell>
          <cell r="B19">
            <v>796500</v>
          </cell>
          <cell r="C19">
            <v>150000</v>
          </cell>
          <cell r="D19">
            <v>125000</v>
          </cell>
          <cell r="E19">
            <v>1071500</v>
          </cell>
          <cell r="G19">
            <v>600000</v>
          </cell>
          <cell r="H19">
            <v>0</v>
          </cell>
          <cell r="I19">
            <v>600000</v>
          </cell>
          <cell r="K19">
            <v>-125000</v>
          </cell>
          <cell r="L19">
            <v>400000</v>
          </cell>
          <cell r="M19">
            <v>275000</v>
          </cell>
          <cell r="O19">
            <v>70000</v>
          </cell>
          <cell r="Q19">
            <v>2016500</v>
          </cell>
          <cell r="S19">
            <v>2.2999999999999998</v>
          </cell>
          <cell r="T19">
            <v>1.0249999999999999</v>
          </cell>
        </row>
        <row r="20">
          <cell r="A20">
            <v>35400</v>
          </cell>
          <cell r="B20">
            <v>1213000</v>
          </cell>
          <cell r="C20">
            <v>372000</v>
          </cell>
          <cell r="D20">
            <v>0</v>
          </cell>
          <cell r="E20">
            <v>1585000</v>
          </cell>
          <cell r="G20">
            <v>350000</v>
          </cell>
          <cell r="H20">
            <v>0</v>
          </cell>
          <cell r="I20">
            <v>350000</v>
          </cell>
          <cell r="K20">
            <v>0</v>
          </cell>
          <cell r="L20">
            <v>850000</v>
          </cell>
          <cell r="M20">
            <v>850000</v>
          </cell>
          <cell r="O20">
            <v>75000</v>
          </cell>
          <cell r="Q20">
            <v>2860000</v>
          </cell>
          <cell r="S20">
            <v>2.85</v>
          </cell>
          <cell r="T20">
            <v>1.0249999999999999</v>
          </cell>
        </row>
        <row r="21">
          <cell r="A21">
            <v>35431</v>
          </cell>
          <cell r="B21">
            <v>2068500</v>
          </cell>
          <cell r="C21">
            <v>573500</v>
          </cell>
          <cell r="D21">
            <v>0</v>
          </cell>
          <cell r="E21">
            <v>2642000</v>
          </cell>
          <cell r="G21">
            <v>1225000</v>
          </cell>
          <cell r="H21">
            <v>0</v>
          </cell>
          <cell r="I21">
            <v>1225000</v>
          </cell>
          <cell r="K21">
            <v>0</v>
          </cell>
          <cell r="L21">
            <v>850000</v>
          </cell>
          <cell r="M21">
            <v>850000</v>
          </cell>
          <cell r="O21">
            <v>0</v>
          </cell>
          <cell r="Q21">
            <v>4717000</v>
          </cell>
          <cell r="S21">
            <v>3.15</v>
          </cell>
          <cell r="T21">
            <v>1.0249999999999999</v>
          </cell>
        </row>
        <row r="22">
          <cell r="A22">
            <v>35462</v>
          </cell>
          <cell r="B22">
            <v>1410000</v>
          </cell>
          <cell r="C22">
            <v>686000</v>
          </cell>
          <cell r="D22">
            <v>0</v>
          </cell>
          <cell r="E22">
            <v>2096000</v>
          </cell>
          <cell r="G22">
            <v>798000</v>
          </cell>
          <cell r="H22">
            <v>0</v>
          </cell>
          <cell r="I22">
            <v>798000</v>
          </cell>
          <cell r="K22">
            <v>0</v>
          </cell>
          <cell r="L22">
            <v>980000</v>
          </cell>
          <cell r="M22">
            <v>980000</v>
          </cell>
          <cell r="O22">
            <v>55000</v>
          </cell>
          <cell r="Q22">
            <v>3929000</v>
          </cell>
          <cell r="S22">
            <v>3.3</v>
          </cell>
          <cell r="T22">
            <v>1.0249999999999999</v>
          </cell>
        </row>
        <row r="23">
          <cell r="A23">
            <v>35490</v>
          </cell>
          <cell r="B23">
            <v>1340000</v>
          </cell>
          <cell r="C23">
            <v>555000</v>
          </cell>
          <cell r="D23">
            <v>5000</v>
          </cell>
          <cell r="E23">
            <v>1900000</v>
          </cell>
          <cell r="G23">
            <v>410000</v>
          </cell>
          <cell r="H23">
            <v>0</v>
          </cell>
          <cell r="I23">
            <v>410000</v>
          </cell>
          <cell r="K23">
            <v>-5000</v>
          </cell>
          <cell r="L23">
            <v>495000</v>
          </cell>
          <cell r="M23">
            <v>490000</v>
          </cell>
          <cell r="O23">
            <v>0</v>
          </cell>
          <cell r="Q23">
            <v>2800000</v>
          </cell>
          <cell r="S23">
            <v>2.6</v>
          </cell>
          <cell r="T23">
            <v>1.0249999999999999</v>
          </cell>
        </row>
        <row r="24">
          <cell r="A24">
            <v>35521</v>
          </cell>
          <cell r="B24">
            <v>1150000</v>
          </cell>
          <cell r="C24">
            <v>550000</v>
          </cell>
          <cell r="D24">
            <v>150000</v>
          </cell>
          <cell r="E24">
            <v>1850000</v>
          </cell>
          <cell r="G24">
            <v>100000</v>
          </cell>
          <cell r="H24">
            <v>-100000</v>
          </cell>
          <cell r="I24">
            <v>0</v>
          </cell>
          <cell r="K24">
            <v>-150000</v>
          </cell>
          <cell r="L24">
            <v>100000</v>
          </cell>
          <cell r="M24">
            <v>-50000</v>
          </cell>
          <cell r="O24">
            <v>50000</v>
          </cell>
          <cell r="Q24">
            <v>1850000</v>
          </cell>
          <cell r="S24">
            <v>1.9</v>
          </cell>
          <cell r="T24">
            <v>1.0249999999999999</v>
          </cell>
        </row>
        <row r="25">
          <cell r="A25">
            <v>35551</v>
          </cell>
          <cell r="B25">
            <v>1200000</v>
          </cell>
          <cell r="C25">
            <v>425000</v>
          </cell>
          <cell r="D25">
            <v>1000000</v>
          </cell>
          <cell r="E25">
            <v>2625000</v>
          </cell>
          <cell r="G25">
            <v>0</v>
          </cell>
          <cell r="H25">
            <v>-650000</v>
          </cell>
          <cell r="I25">
            <v>-650000</v>
          </cell>
          <cell r="K25">
            <v>-350000</v>
          </cell>
          <cell r="L25">
            <v>0</v>
          </cell>
          <cell r="M25">
            <v>-350000</v>
          </cell>
          <cell r="O25">
            <v>10000</v>
          </cell>
          <cell r="Q25">
            <v>1635000</v>
          </cell>
          <cell r="S25">
            <v>1.75</v>
          </cell>
          <cell r="T25">
            <v>1.0249999999999999</v>
          </cell>
        </row>
        <row r="26">
          <cell r="A26">
            <v>35582</v>
          </cell>
          <cell r="B26">
            <v>1200000</v>
          </cell>
          <cell r="C26">
            <v>425000</v>
          </cell>
          <cell r="D26">
            <v>1090000</v>
          </cell>
          <cell r="E26">
            <v>2715000</v>
          </cell>
          <cell r="G26">
            <v>0</v>
          </cell>
          <cell r="H26">
            <v>-700000</v>
          </cell>
          <cell r="I26">
            <v>-700000</v>
          </cell>
          <cell r="K26">
            <v>-390000</v>
          </cell>
          <cell r="L26">
            <v>0</v>
          </cell>
          <cell r="M26">
            <v>-390000</v>
          </cell>
          <cell r="O26">
            <v>35000</v>
          </cell>
          <cell r="Q26">
            <v>1660000</v>
          </cell>
          <cell r="S26">
            <v>2</v>
          </cell>
          <cell r="T26">
            <v>1.0249999999999999</v>
          </cell>
        </row>
        <row r="27">
          <cell r="A27">
            <v>35612</v>
          </cell>
          <cell r="B27">
            <v>1375000</v>
          </cell>
          <cell r="C27">
            <v>350000</v>
          </cell>
          <cell r="D27">
            <v>1154000</v>
          </cell>
          <cell r="E27">
            <v>2879000</v>
          </cell>
          <cell r="G27">
            <v>0</v>
          </cell>
          <cell r="H27">
            <v>-630000</v>
          </cell>
          <cell r="I27">
            <v>-630000</v>
          </cell>
          <cell r="K27">
            <v>-524000</v>
          </cell>
          <cell r="L27">
            <v>0</v>
          </cell>
          <cell r="M27">
            <v>-524000</v>
          </cell>
          <cell r="O27">
            <v>0</v>
          </cell>
          <cell r="Q27">
            <v>1725000</v>
          </cell>
          <cell r="S27">
            <v>2.15</v>
          </cell>
          <cell r="T27">
            <v>1.0249999999999999</v>
          </cell>
        </row>
        <row r="28">
          <cell r="A28">
            <v>35643</v>
          </cell>
          <cell r="B28">
            <v>1465000</v>
          </cell>
          <cell r="C28">
            <v>365000</v>
          </cell>
          <cell r="D28">
            <v>1035000</v>
          </cell>
          <cell r="E28">
            <v>2865000</v>
          </cell>
          <cell r="G28">
            <v>0</v>
          </cell>
          <cell r="H28">
            <v>-535000</v>
          </cell>
          <cell r="I28">
            <v>-535000</v>
          </cell>
          <cell r="K28">
            <v>-500000</v>
          </cell>
          <cell r="L28">
            <v>0</v>
          </cell>
          <cell r="M28">
            <v>-500000</v>
          </cell>
          <cell r="O28">
            <v>0</v>
          </cell>
          <cell r="Q28">
            <v>1830000</v>
          </cell>
          <cell r="S28">
            <v>2.35</v>
          </cell>
          <cell r="T28">
            <v>1.0249999999999999</v>
          </cell>
        </row>
        <row r="29">
          <cell r="A29">
            <v>35674</v>
          </cell>
          <cell r="B29">
            <v>1555000</v>
          </cell>
          <cell r="C29">
            <v>365000</v>
          </cell>
          <cell r="D29">
            <v>800000</v>
          </cell>
          <cell r="E29">
            <v>2720000</v>
          </cell>
          <cell r="G29">
            <v>0</v>
          </cell>
          <cell r="H29">
            <v>-270000</v>
          </cell>
          <cell r="I29">
            <v>-270000</v>
          </cell>
          <cell r="K29">
            <v>-530000</v>
          </cell>
          <cell r="L29">
            <v>0</v>
          </cell>
          <cell r="M29">
            <v>-530000</v>
          </cell>
          <cell r="O29">
            <v>45000</v>
          </cell>
          <cell r="Q29">
            <v>1965000</v>
          </cell>
          <cell r="S29">
            <v>2.35</v>
          </cell>
          <cell r="T29">
            <v>1.0249999999999999</v>
          </cell>
        </row>
        <row r="30">
          <cell r="A30">
            <v>35704</v>
          </cell>
          <cell r="B30">
            <v>1670000</v>
          </cell>
          <cell r="C30">
            <v>365000</v>
          </cell>
          <cell r="D30">
            <v>773000</v>
          </cell>
          <cell r="E30">
            <v>2808000</v>
          </cell>
          <cell r="G30">
            <v>0</v>
          </cell>
          <cell r="H30">
            <v>-273000</v>
          </cell>
          <cell r="I30">
            <v>-273000</v>
          </cell>
          <cell r="K30">
            <v>-500000</v>
          </cell>
          <cell r="L30">
            <v>0</v>
          </cell>
          <cell r="M30">
            <v>-500000</v>
          </cell>
          <cell r="O30">
            <v>40000</v>
          </cell>
          <cell r="Q30">
            <v>2075000</v>
          </cell>
          <cell r="S30">
            <v>2.5499999999999998</v>
          </cell>
          <cell r="T30">
            <v>1.0249999999999999</v>
          </cell>
        </row>
        <row r="31">
          <cell r="A31">
            <v>35735</v>
          </cell>
          <cell r="B31">
            <v>1770000</v>
          </cell>
          <cell r="C31">
            <v>400000</v>
          </cell>
          <cell r="D31">
            <v>150000</v>
          </cell>
          <cell r="E31">
            <v>2320000</v>
          </cell>
          <cell r="G31">
            <v>90000</v>
          </cell>
          <cell r="H31">
            <v>0</v>
          </cell>
          <cell r="I31">
            <v>90000</v>
          </cell>
          <cell r="K31">
            <v>-150000</v>
          </cell>
          <cell r="L31">
            <v>100000</v>
          </cell>
          <cell r="M31">
            <v>-50000</v>
          </cell>
          <cell r="O31">
            <v>40000</v>
          </cell>
          <cell r="Q31">
            <v>2400000</v>
          </cell>
          <cell r="S31">
            <v>3.65</v>
          </cell>
          <cell r="T31">
            <v>1.0249999999999999</v>
          </cell>
        </row>
        <row r="32">
          <cell r="A32">
            <v>35765</v>
          </cell>
          <cell r="B32">
            <v>1015000</v>
          </cell>
          <cell r="C32">
            <v>400000</v>
          </cell>
          <cell r="D32">
            <v>0</v>
          </cell>
          <cell r="E32">
            <v>1415000</v>
          </cell>
          <cell r="G32">
            <v>1240000</v>
          </cell>
          <cell r="H32">
            <v>0</v>
          </cell>
          <cell r="I32">
            <v>1240000</v>
          </cell>
          <cell r="K32">
            <v>0</v>
          </cell>
          <cell r="L32">
            <v>625000</v>
          </cell>
          <cell r="M32">
            <v>625000</v>
          </cell>
          <cell r="O32">
            <v>40000</v>
          </cell>
          <cell r="Q32">
            <v>3320000</v>
          </cell>
          <cell r="S32">
            <v>3.98</v>
          </cell>
          <cell r="T32">
            <v>1.0249999999999999</v>
          </cell>
        </row>
        <row r="33">
          <cell r="A33">
            <v>35796</v>
          </cell>
          <cell r="B33">
            <v>1578000</v>
          </cell>
          <cell r="C33">
            <v>573500</v>
          </cell>
          <cell r="D33">
            <v>0</v>
          </cell>
          <cell r="E33">
            <v>2151500</v>
          </cell>
          <cell r="G33">
            <v>1137000</v>
          </cell>
          <cell r="H33">
            <v>0</v>
          </cell>
          <cell r="I33">
            <v>1137000</v>
          </cell>
          <cell r="K33">
            <v>0</v>
          </cell>
          <cell r="L33">
            <v>1297000</v>
          </cell>
          <cell r="M33">
            <v>1297000</v>
          </cell>
          <cell r="O33">
            <v>0</v>
          </cell>
          <cell r="Q33">
            <v>4585500</v>
          </cell>
          <cell r="S33">
            <v>3.48</v>
          </cell>
          <cell r="T33">
            <v>1.0249999999999999</v>
          </cell>
        </row>
        <row r="34">
          <cell r="A34">
            <v>35827</v>
          </cell>
          <cell r="B34">
            <v>1539000</v>
          </cell>
          <cell r="C34">
            <v>518000</v>
          </cell>
          <cell r="D34">
            <v>0</v>
          </cell>
          <cell r="E34">
            <v>2057000</v>
          </cell>
          <cell r="G34">
            <v>803475</v>
          </cell>
          <cell r="H34">
            <v>0</v>
          </cell>
          <cell r="I34">
            <v>803475</v>
          </cell>
          <cell r="K34">
            <v>0</v>
          </cell>
          <cell r="L34">
            <v>1100000</v>
          </cell>
          <cell r="M34">
            <v>1100000</v>
          </cell>
          <cell r="O34">
            <v>36000</v>
          </cell>
          <cell r="Q34">
            <v>3996475</v>
          </cell>
          <cell r="S34">
            <v>2.5</v>
          </cell>
          <cell r="T34">
            <v>1.0249999999999999</v>
          </cell>
        </row>
        <row r="35">
          <cell r="A35">
            <v>35855</v>
          </cell>
          <cell r="B35">
            <v>1250000</v>
          </cell>
          <cell r="C35">
            <v>418500</v>
          </cell>
          <cell r="D35">
            <v>0</v>
          </cell>
          <cell r="E35">
            <v>1668500</v>
          </cell>
          <cell r="G35">
            <v>284000</v>
          </cell>
          <cell r="H35">
            <v>0</v>
          </cell>
          <cell r="I35">
            <v>284000</v>
          </cell>
          <cell r="K35">
            <v>0</v>
          </cell>
          <cell r="L35">
            <v>800000</v>
          </cell>
          <cell r="M35">
            <v>800000</v>
          </cell>
          <cell r="O35">
            <v>39000</v>
          </cell>
          <cell r="Q35">
            <v>2791500</v>
          </cell>
          <cell r="S35">
            <v>2.23</v>
          </cell>
          <cell r="T35">
            <v>1.0249999999999999</v>
          </cell>
        </row>
        <row r="36">
          <cell r="A36">
            <v>35886</v>
          </cell>
          <cell r="B36">
            <v>810000</v>
          </cell>
          <cell r="C36">
            <v>330000</v>
          </cell>
          <cell r="D36">
            <v>446000</v>
          </cell>
          <cell r="E36">
            <v>1586000</v>
          </cell>
          <cell r="G36">
            <v>0</v>
          </cell>
          <cell r="H36">
            <v>-156000</v>
          </cell>
          <cell r="I36">
            <v>-156000</v>
          </cell>
          <cell r="K36">
            <v>-290000</v>
          </cell>
          <cell r="L36">
            <v>0</v>
          </cell>
          <cell r="M36">
            <v>-290000</v>
          </cell>
          <cell r="O36">
            <v>41000</v>
          </cell>
          <cell r="Q36">
            <v>1181000</v>
          </cell>
          <cell r="S36">
            <v>2.2599999999999998</v>
          </cell>
          <cell r="T36">
            <v>1.0249999999999999</v>
          </cell>
        </row>
        <row r="37">
          <cell r="A37">
            <v>35916</v>
          </cell>
          <cell r="B37">
            <v>488375</v>
          </cell>
          <cell r="C37">
            <v>116000</v>
          </cell>
          <cell r="D37">
            <v>1085000</v>
          </cell>
          <cell r="E37">
            <v>1689375</v>
          </cell>
          <cell r="G37">
            <v>0</v>
          </cell>
          <cell r="H37">
            <v>-575000</v>
          </cell>
          <cell r="I37">
            <v>-575000</v>
          </cell>
          <cell r="K37">
            <v>-510000</v>
          </cell>
          <cell r="L37">
            <v>0</v>
          </cell>
          <cell r="M37">
            <v>-510000</v>
          </cell>
          <cell r="O37">
            <v>37000</v>
          </cell>
          <cell r="Q37">
            <v>641375</v>
          </cell>
          <cell r="S37">
            <v>2.41</v>
          </cell>
          <cell r="T37">
            <v>1.0249999999999999</v>
          </cell>
        </row>
        <row r="38">
          <cell r="A38">
            <v>35947</v>
          </cell>
          <cell r="B38">
            <v>23853</v>
          </cell>
          <cell r="C38">
            <v>153120</v>
          </cell>
          <cell r="D38">
            <v>1407210</v>
          </cell>
          <cell r="E38">
            <v>1584183</v>
          </cell>
          <cell r="G38">
            <v>0</v>
          </cell>
          <cell r="H38">
            <v>-597210</v>
          </cell>
          <cell r="I38">
            <v>-597210</v>
          </cell>
          <cell r="K38">
            <v>-810000</v>
          </cell>
          <cell r="L38">
            <v>0</v>
          </cell>
          <cell r="M38">
            <v>-810000</v>
          </cell>
          <cell r="O38">
            <v>40000</v>
          </cell>
          <cell r="Q38">
            <v>216973</v>
          </cell>
          <cell r="S38">
            <v>2.4</v>
          </cell>
          <cell r="T38">
            <v>1.0249999999999999</v>
          </cell>
        </row>
        <row r="39">
          <cell r="A39">
            <v>35977</v>
          </cell>
          <cell r="B39">
            <v>0</v>
          </cell>
          <cell r="C39">
            <v>81617</v>
          </cell>
          <cell r="D39">
            <v>1157412</v>
          </cell>
          <cell r="E39">
            <v>1239029</v>
          </cell>
          <cell r="G39">
            <v>0</v>
          </cell>
          <cell r="H39">
            <v>-633800</v>
          </cell>
          <cell r="I39">
            <v>-633800</v>
          </cell>
          <cell r="K39">
            <v>-523612</v>
          </cell>
          <cell r="L39">
            <v>0</v>
          </cell>
          <cell r="M39">
            <v>-523612</v>
          </cell>
          <cell r="O39">
            <v>40000</v>
          </cell>
          <cell r="Q39">
            <v>121617</v>
          </cell>
          <cell r="S39">
            <v>2.2999999999999998</v>
          </cell>
          <cell r="T39">
            <v>1.0249999999999999</v>
          </cell>
        </row>
        <row r="40">
          <cell r="A40">
            <v>36008</v>
          </cell>
          <cell r="B40">
            <v>282638</v>
          </cell>
          <cell r="C40">
            <v>263500</v>
          </cell>
          <cell r="D40">
            <v>1148606</v>
          </cell>
          <cell r="E40">
            <v>1694744</v>
          </cell>
          <cell r="G40">
            <v>0</v>
          </cell>
          <cell r="H40">
            <v>-644006</v>
          </cell>
          <cell r="I40">
            <v>-644006</v>
          </cell>
          <cell r="K40">
            <v>-504600</v>
          </cell>
          <cell r="L40">
            <v>0</v>
          </cell>
          <cell r="M40">
            <v>-504600</v>
          </cell>
          <cell r="O40">
            <v>41600</v>
          </cell>
          <cell r="Q40">
            <v>587738</v>
          </cell>
          <cell r="S40">
            <v>2.4500000000000002</v>
          </cell>
          <cell r="T40">
            <v>1.0249999999999999</v>
          </cell>
        </row>
        <row r="41">
          <cell r="A41">
            <v>36039</v>
          </cell>
          <cell r="B41">
            <v>323133</v>
          </cell>
          <cell r="C41">
            <v>255000</v>
          </cell>
          <cell r="D41">
            <v>710559</v>
          </cell>
          <cell r="E41">
            <v>1288692</v>
          </cell>
          <cell r="G41">
            <v>0</v>
          </cell>
          <cell r="H41">
            <v>-342359</v>
          </cell>
          <cell r="I41">
            <v>-342359</v>
          </cell>
          <cell r="K41">
            <v>-368200</v>
          </cell>
          <cell r="L41">
            <v>0</v>
          </cell>
          <cell r="M41">
            <v>-368200</v>
          </cell>
          <cell r="O41">
            <v>35000</v>
          </cell>
          <cell r="Q41">
            <v>613133</v>
          </cell>
          <cell r="S41">
            <v>2.15</v>
          </cell>
          <cell r="T41">
            <v>1.0249999999999999</v>
          </cell>
        </row>
        <row r="42">
          <cell r="A42">
            <v>36069</v>
          </cell>
          <cell r="B42">
            <v>1036843</v>
          </cell>
          <cell r="C42">
            <v>258500</v>
          </cell>
          <cell r="D42">
            <v>434000</v>
          </cell>
          <cell r="E42">
            <v>1729343</v>
          </cell>
          <cell r="G42">
            <v>0</v>
          </cell>
          <cell r="H42">
            <v>-303000</v>
          </cell>
          <cell r="I42">
            <v>-303000</v>
          </cell>
          <cell r="K42">
            <v>-131000</v>
          </cell>
          <cell r="L42">
            <v>0</v>
          </cell>
          <cell r="M42">
            <v>-131000</v>
          </cell>
          <cell r="O42">
            <v>35000</v>
          </cell>
          <cell r="Q42">
            <v>1330343</v>
          </cell>
          <cell r="S42">
            <v>2.15</v>
          </cell>
          <cell r="T42">
            <v>1.0249999999999999</v>
          </cell>
        </row>
        <row r="43">
          <cell r="A43">
            <v>36100</v>
          </cell>
          <cell r="B43">
            <v>2196500</v>
          </cell>
          <cell r="C43">
            <v>258500</v>
          </cell>
          <cell r="D43">
            <v>-750000</v>
          </cell>
          <cell r="E43">
            <v>1705000</v>
          </cell>
          <cell r="G43">
            <v>450000</v>
          </cell>
          <cell r="H43">
            <v>0</v>
          </cell>
          <cell r="I43">
            <v>450000</v>
          </cell>
          <cell r="K43">
            <v>0</v>
          </cell>
          <cell r="L43">
            <v>300000</v>
          </cell>
          <cell r="M43">
            <v>300000</v>
          </cell>
          <cell r="O43">
            <v>35000</v>
          </cell>
          <cell r="Q43">
            <v>2490000</v>
          </cell>
          <cell r="S43">
            <v>2.5099999999999998</v>
          </cell>
          <cell r="T43">
            <v>1.0249999999999999</v>
          </cell>
        </row>
        <row r="44">
          <cell r="A44">
            <v>36130</v>
          </cell>
          <cell r="B44">
            <v>2817726</v>
          </cell>
          <cell r="C44">
            <v>258500</v>
          </cell>
          <cell r="D44">
            <v>-1900000</v>
          </cell>
          <cell r="E44">
            <v>1176226</v>
          </cell>
          <cell r="G44">
            <v>1000000</v>
          </cell>
          <cell r="H44">
            <v>0</v>
          </cell>
          <cell r="I44">
            <v>1000000</v>
          </cell>
          <cell r="K44">
            <v>0</v>
          </cell>
          <cell r="L44">
            <v>900000</v>
          </cell>
          <cell r="M44">
            <v>900000</v>
          </cell>
          <cell r="O44">
            <v>35000</v>
          </cell>
          <cell r="Q44">
            <v>3111226</v>
          </cell>
          <cell r="S44">
            <v>2.37</v>
          </cell>
          <cell r="T44">
            <v>1.0249999999999999</v>
          </cell>
        </row>
        <row r="45">
          <cell r="A45">
            <v>36161</v>
          </cell>
          <cell r="B45">
            <v>4145720</v>
          </cell>
          <cell r="C45">
            <v>258500</v>
          </cell>
          <cell r="D45">
            <v>-1900000</v>
          </cell>
          <cell r="E45">
            <v>2504220</v>
          </cell>
          <cell r="G45">
            <v>1000000</v>
          </cell>
          <cell r="H45">
            <v>0</v>
          </cell>
          <cell r="I45">
            <v>1000000</v>
          </cell>
          <cell r="K45">
            <v>0</v>
          </cell>
          <cell r="L45">
            <v>900000</v>
          </cell>
          <cell r="M45">
            <v>900000</v>
          </cell>
          <cell r="O45">
            <v>35000</v>
          </cell>
          <cell r="Q45">
            <v>4439220</v>
          </cell>
          <cell r="S45">
            <v>2.25</v>
          </cell>
          <cell r="T45">
            <v>1.0249999999999999</v>
          </cell>
        </row>
        <row r="46">
          <cell r="A46">
            <v>36192</v>
          </cell>
          <cell r="B46">
            <v>3410080</v>
          </cell>
          <cell r="C46">
            <v>258500</v>
          </cell>
          <cell r="D46">
            <v>-1650000</v>
          </cell>
          <cell r="E46">
            <v>2018580</v>
          </cell>
          <cell r="G46">
            <v>850000</v>
          </cell>
          <cell r="H46">
            <v>0</v>
          </cell>
          <cell r="I46">
            <v>850000</v>
          </cell>
          <cell r="K46">
            <v>0</v>
          </cell>
          <cell r="L46">
            <v>800000</v>
          </cell>
          <cell r="M46">
            <v>800000</v>
          </cell>
          <cell r="O46">
            <v>35000</v>
          </cell>
          <cell r="Q46">
            <v>3703580</v>
          </cell>
          <cell r="S46">
            <v>1.81</v>
          </cell>
          <cell r="T46">
            <v>1.0249999999999999</v>
          </cell>
        </row>
        <row r="47">
          <cell r="A47">
            <v>36220</v>
          </cell>
          <cell r="B47">
            <v>2624216</v>
          </cell>
          <cell r="C47">
            <v>263500</v>
          </cell>
          <cell r="D47">
            <v>-862500</v>
          </cell>
          <cell r="E47">
            <v>2025216</v>
          </cell>
          <cell r="G47">
            <v>425500</v>
          </cell>
          <cell r="H47">
            <v>0</v>
          </cell>
          <cell r="I47">
            <v>425500</v>
          </cell>
          <cell r="K47">
            <v>0</v>
          </cell>
          <cell r="L47">
            <v>437000</v>
          </cell>
          <cell r="M47">
            <v>437000</v>
          </cell>
          <cell r="O47">
            <v>22500</v>
          </cell>
          <cell r="Q47">
            <v>2910216</v>
          </cell>
          <cell r="S47">
            <v>1.77</v>
          </cell>
          <cell r="T47">
            <v>1.0249999999999999</v>
          </cell>
        </row>
        <row r="48">
          <cell r="A48">
            <v>36251</v>
          </cell>
          <cell r="B48">
            <v>1384213</v>
          </cell>
          <cell r="C48">
            <v>258500</v>
          </cell>
          <cell r="D48">
            <v>446000</v>
          </cell>
          <cell r="E48">
            <v>2088713</v>
          </cell>
          <cell r="G48">
            <v>0</v>
          </cell>
          <cell r="H48">
            <v>-156000</v>
          </cell>
          <cell r="I48">
            <v>-156000</v>
          </cell>
          <cell r="K48">
            <v>-290000</v>
          </cell>
          <cell r="L48">
            <v>0</v>
          </cell>
          <cell r="M48">
            <v>-290000</v>
          </cell>
          <cell r="O48">
            <v>21000</v>
          </cell>
          <cell r="Q48">
            <v>1663713</v>
          </cell>
          <cell r="S48">
            <v>1.75</v>
          </cell>
          <cell r="T48">
            <v>1.0249999999999999</v>
          </cell>
        </row>
        <row r="49">
          <cell r="A49">
            <v>36281</v>
          </cell>
          <cell r="B49">
            <v>735665</v>
          </cell>
          <cell r="C49">
            <v>258500</v>
          </cell>
          <cell r="D49">
            <v>1229000</v>
          </cell>
          <cell r="E49">
            <v>2223165</v>
          </cell>
          <cell r="G49">
            <v>0</v>
          </cell>
          <cell r="H49">
            <v>-657000</v>
          </cell>
          <cell r="I49">
            <v>-657000</v>
          </cell>
          <cell r="K49">
            <v>-572000</v>
          </cell>
          <cell r="L49">
            <v>0</v>
          </cell>
          <cell r="M49">
            <v>-572000</v>
          </cell>
          <cell r="O49">
            <v>21000</v>
          </cell>
          <cell r="Q49">
            <v>1015165</v>
          </cell>
          <cell r="S49">
            <v>1.66</v>
          </cell>
          <cell r="T49">
            <v>1.0249999999999999</v>
          </cell>
        </row>
        <row r="50">
          <cell r="A50">
            <v>36312</v>
          </cell>
          <cell r="B50">
            <v>559048</v>
          </cell>
          <cell r="C50">
            <v>255000</v>
          </cell>
          <cell r="D50">
            <v>1306000</v>
          </cell>
          <cell r="E50">
            <v>2120048</v>
          </cell>
          <cell r="G50">
            <v>0</v>
          </cell>
          <cell r="H50">
            <v>-708000</v>
          </cell>
          <cell r="I50">
            <v>-708000</v>
          </cell>
          <cell r="K50">
            <v>-598000</v>
          </cell>
          <cell r="L50">
            <v>0</v>
          </cell>
          <cell r="M50">
            <v>-598000</v>
          </cell>
          <cell r="O50">
            <v>20000</v>
          </cell>
          <cell r="Q50">
            <v>834048</v>
          </cell>
          <cell r="S50">
            <v>2.0499999999999998</v>
          </cell>
          <cell r="T50">
            <v>1.0249999999999999</v>
          </cell>
        </row>
        <row r="51">
          <cell r="A51">
            <v>36342</v>
          </cell>
          <cell r="B51">
            <v>420527</v>
          </cell>
          <cell r="C51">
            <v>263500</v>
          </cell>
          <cell r="D51">
            <v>1313000</v>
          </cell>
          <cell r="E51">
            <v>1997027</v>
          </cell>
          <cell r="G51">
            <v>0</v>
          </cell>
          <cell r="H51">
            <v>-719000</v>
          </cell>
          <cell r="I51">
            <v>-719000</v>
          </cell>
          <cell r="K51">
            <v>-594000</v>
          </cell>
          <cell r="L51">
            <v>0</v>
          </cell>
          <cell r="M51">
            <v>-594000</v>
          </cell>
          <cell r="O51">
            <v>19000</v>
          </cell>
          <cell r="Q51">
            <v>703027</v>
          </cell>
          <cell r="S51">
            <v>2.34</v>
          </cell>
          <cell r="T51">
            <v>1.0249999999999999</v>
          </cell>
        </row>
        <row r="52">
          <cell r="A52">
            <v>36373</v>
          </cell>
          <cell r="B52">
            <v>403116</v>
          </cell>
          <cell r="C52">
            <v>263500</v>
          </cell>
          <cell r="D52">
            <v>1174000</v>
          </cell>
          <cell r="E52">
            <v>1840616</v>
          </cell>
          <cell r="G52">
            <v>0</v>
          </cell>
          <cell r="H52">
            <v>-606000</v>
          </cell>
          <cell r="I52">
            <v>-606000</v>
          </cell>
          <cell r="K52">
            <v>-568000</v>
          </cell>
          <cell r="L52">
            <v>0</v>
          </cell>
          <cell r="M52">
            <v>-568000</v>
          </cell>
          <cell r="O52">
            <v>18000</v>
          </cell>
          <cell r="Q52">
            <v>684616</v>
          </cell>
          <cell r="S52">
            <v>2.1500000000000004</v>
          </cell>
          <cell r="T52">
            <v>1.0249999999999999</v>
          </cell>
        </row>
        <row r="53">
          <cell r="A53">
            <v>36404</v>
          </cell>
          <cell r="B53">
            <v>511029</v>
          </cell>
          <cell r="C53">
            <v>263500</v>
          </cell>
          <cell r="D53">
            <v>905000</v>
          </cell>
          <cell r="E53">
            <v>1679529</v>
          </cell>
          <cell r="G53">
            <v>0</v>
          </cell>
          <cell r="H53">
            <v>-303000</v>
          </cell>
          <cell r="I53">
            <v>-303000</v>
          </cell>
          <cell r="K53">
            <v>-602000</v>
          </cell>
          <cell r="L53">
            <v>0</v>
          </cell>
          <cell r="M53">
            <v>-602000</v>
          </cell>
          <cell r="O53">
            <v>20000</v>
          </cell>
          <cell r="Q53">
            <v>794529</v>
          </cell>
          <cell r="S53">
            <v>2.1500000000000004</v>
          </cell>
          <cell r="T53">
            <v>1.0249999999999999</v>
          </cell>
        </row>
        <row r="54">
          <cell r="A54">
            <v>36434</v>
          </cell>
          <cell r="B54">
            <v>1052461</v>
          </cell>
          <cell r="C54">
            <v>263500</v>
          </cell>
          <cell r="D54">
            <v>435000</v>
          </cell>
          <cell r="E54">
            <v>1750961</v>
          </cell>
          <cell r="G54">
            <v>0</v>
          </cell>
          <cell r="H54">
            <v>-303000</v>
          </cell>
          <cell r="I54">
            <v>-303000</v>
          </cell>
          <cell r="K54">
            <v>-132000</v>
          </cell>
          <cell r="L54">
            <v>0</v>
          </cell>
          <cell r="M54">
            <v>-132000</v>
          </cell>
          <cell r="O54">
            <v>25000</v>
          </cell>
          <cell r="Q54">
            <v>1340961</v>
          </cell>
          <cell r="S54">
            <v>2.4</v>
          </cell>
          <cell r="T54">
            <v>1.0249999999999999</v>
          </cell>
        </row>
        <row r="55">
          <cell r="A55">
            <v>36465</v>
          </cell>
          <cell r="B55">
            <v>1375000</v>
          </cell>
          <cell r="C55">
            <v>1015000</v>
          </cell>
          <cell r="D55">
            <v>-1000000</v>
          </cell>
          <cell r="E55">
            <v>1390000</v>
          </cell>
          <cell r="G55">
            <v>600000</v>
          </cell>
          <cell r="H55">
            <v>0</v>
          </cell>
          <cell r="I55">
            <v>600000</v>
          </cell>
          <cell r="K55">
            <v>0</v>
          </cell>
          <cell r="L55">
            <v>400000</v>
          </cell>
          <cell r="M55">
            <v>400000</v>
          </cell>
          <cell r="O55">
            <v>20000</v>
          </cell>
          <cell r="Q55">
            <v>2410000</v>
          </cell>
          <cell r="S55">
            <v>2.75</v>
          </cell>
          <cell r="T55">
            <v>1.0249999999999999</v>
          </cell>
        </row>
        <row r="56">
          <cell r="A56">
            <v>36495</v>
          </cell>
          <cell r="B56">
            <v>2358500</v>
          </cell>
          <cell r="C56">
            <v>1355500</v>
          </cell>
          <cell r="D56">
            <v>-1800000</v>
          </cell>
          <cell r="E56">
            <v>1914000</v>
          </cell>
          <cell r="G56">
            <v>1080000</v>
          </cell>
          <cell r="H56">
            <v>0</v>
          </cell>
          <cell r="I56">
            <v>1080000</v>
          </cell>
          <cell r="K56">
            <v>0</v>
          </cell>
          <cell r="L56">
            <v>720000</v>
          </cell>
          <cell r="M56">
            <v>720000</v>
          </cell>
          <cell r="O56">
            <v>20000</v>
          </cell>
          <cell r="Q56">
            <v>3734000</v>
          </cell>
          <cell r="S56">
            <v>2.75</v>
          </cell>
          <cell r="T56">
            <v>1.0249999999999999</v>
          </cell>
        </row>
        <row r="57">
          <cell r="A57">
            <v>36526</v>
          </cell>
          <cell r="B57">
            <v>3018500</v>
          </cell>
          <cell r="C57">
            <v>1355500</v>
          </cell>
          <cell r="D57">
            <v>-1800000</v>
          </cell>
          <cell r="E57">
            <v>2574000</v>
          </cell>
          <cell r="G57">
            <v>1080000</v>
          </cell>
          <cell r="H57">
            <v>0</v>
          </cell>
          <cell r="I57">
            <v>1080000</v>
          </cell>
          <cell r="K57">
            <v>0</v>
          </cell>
          <cell r="L57">
            <v>720000</v>
          </cell>
          <cell r="M57">
            <v>720000</v>
          </cell>
          <cell r="O57">
            <v>35000</v>
          </cell>
          <cell r="Q57">
            <v>4409000</v>
          </cell>
          <cell r="S57">
            <v>2.5750000000000002</v>
          </cell>
          <cell r="T57">
            <v>1.0249999999999999</v>
          </cell>
        </row>
        <row r="58">
          <cell r="A58">
            <v>36557</v>
          </cell>
          <cell r="B58">
            <v>2311500</v>
          </cell>
          <cell r="C58">
            <v>1314500</v>
          </cell>
          <cell r="D58">
            <v>-1800000</v>
          </cell>
          <cell r="E58">
            <v>1826000</v>
          </cell>
          <cell r="G58">
            <v>1080000</v>
          </cell>
          <cell r="H58">
            <v>0</v>
          </cell>
          <cell r="I58">
            <v>1080000</v>
          </cell>
          <cell r="K58">
            <v>0</v>
          </cell>
          <cell r="L58">
            <v>720000</v>
          </cell>
          <cell r="M58">
            <v>720000</v>
          </cell>
          <cell r="O58">
            <v>35000</v>
          </cell>
          <cell r="Q58">
            <v>3661000</v>
          </cell>
          <cell r="S58">
            <v>2.75</v>
          </cell>
          <cell r="T58">
            <v>1.0249999999999999</v>
          </cell>
        </row>
        <row r="59">
          <cell r="A59">
            <v>36586</v>
          </cell>
          <cell r="B59">
            <v>930500</v>
          </cell>
          <cell r="C59">
            <v>1295500</v>
          </cell>
          <cell r="D59">
            <v>-1100000</v>
          </cell>
          <cell r="E59">
            <v>1126000</v>
          </cell>
          <cell r="G59">
            <v>660000</v>
          </cell>
          <cell r="H59">
            <v>0</v>
          </cell>
          <cell r="I59">
            <v>660000</v>
          </cell>
          <cell r="K59">
            <v>0</v>
          </cell>
          <cell r="L59">
            <v>440000</v>
          </cell>
          <cell r="M59">
            <v>440000</v>
          </cell>
          <cell r="O59">
            <v>22500</v>
          </cell>
          <cell r="Q59">
            <v>2248500</v>
          </cell>
          <cell r="S59">
            <v>2.75</v>
          </cell>
          <cell r="T59">
            <v>1.0249999999999999</v>
          </cell>
        </row>
        <row r="60">
          <cell r="A60">
            <v>36617</v>
          </cell>
          <cell r="B60">
            <v>1235000</v>
          </cell>
          <cell r="C60">
            <v>915000</v>
          </cell>
          <cell r="D60">
            <v>-600000</v>
          </cell>
          <cell r="E60">
            <v>1550000</v>
          </cell>
          <cell r="G60">
            <v>300000</v>
          </cell>
          <cell r="H60">
            <v>0</v>
          </cell>
          <cell r="I60">
            <v>300000</v>
          </cell>
          <cell r="K60">
            <v>0</v>
          </cell>
          <cell r="L60">
            <v>300000</v>
          </cell>
          <cell r="M60">
            <v>300000</v>
          </cell>
          <cell r="O60">
            <v>21000</v>
          </cell>
          <cell r="Q60">
            <v>2171000</v>
          </cell>
          <cell r="S60">
            <v>2.75</v>
          </cell>
          <cell r="T60">
            <v>1.0249999999999999</v>
          </cell>
        </row>
        <row r="61">
          <cell r="A61">
            <v>36647</v>
          </cell>
          <cell r="B61">
            <v>1914500</v>
          </cell>
          <cell r="C61">
            <v>1285500</v>
          </cell>
          <cell r="D61">
            <v>-1250000</v>
          </cell>
          <cell r="E61">
            <v>1950000</v>
          </cell>
          <cell r="G61">
            <v>600000</v>
          </cell>
          <cell r="H61">
            <v>0</v>
          </cell>
          <cell r="I61">
            <v>600000</v>
          </cell>
          <cell r="K61">
            <v>0</v>
          </cell>
          <cell r="L61">
            <v>650000</v>
          </cell>
          <cell r="M61">
            <v>650000</v>
          </cell>
          <cell r="O61">
            <v>21000</v>
          </cell>
          <cell r="Q61">
            <v>3221000</v>
          </cell>
          <cell r="S61">
            <v>2.84</v>
          </cell>
          <cell r="T61">
            <v>1.0249999999999999</v>
          </cell>
        </row>
        <row r="62">
          <cell r="A62">
            <v>36678</v>
          </cell>
          <cell r="B62">
            <v>1162000</v>
          </cell>
          <cell r="C62">
            <v>615000</v>
          </cell>
          <cell r="D62">
            <v>-1300000</v>
          </cell>
          <cell r="E62">
            <v>477000</v>
          </cell>
          <cell r="G62">
            <v>600000</v>
          </cell>
          <cell r="H62">
            <v>0</v>
          </cell>
          <cell r="I62">
            <v>600000</v>
          </cell>
          <cell r="K62">
            <v>0</v>
          </cell>
          <cell r="L62">
            <v>700000</v>
          </cell>
          <cell r="M62">
            <v>700000</v>
          </cell>
          <cell r="O62">
            <v>20000</v>
          </cell>
          <cell r="Q62">
            <v>1797000</v>
          </cell>
          <cell r="S62">
            <v>2.84</v>
          </cell>
          <cell r="T62">
            <v>1.0249999999999999</v>
          </cell>
        </row>
        <row r="63">
          <cell r="A63">
            <v>36708</v>
          </cell>
          <cell r="B63">
            <v>1053500</v>
          </cell>
          <cell r="C63">
            <v>635500</v>
          </cell>
          <cell r="D63">
            <v>-1300000</v>
          </cell>
          <cell r="E63">
            <v>389000</v>
          </cell>
          <cell r="G63">
            <v>600000</v>
          </cell>
          <cell r="H63">
            <v>0</v>
          </cell>
          <cell r="I63">
            <v>600000</v>
          </cell>
          <cell r="K63">
            <v>0</v>
          </cell>
          <cell r="L63">
            <v>700000</v>
          </cell>
          <cell r="M63">
            <v>700000</v>
          </cell>
          <cell r="O63">
            <v>19000</v>
          </cell>
          <cell r="Q63">
            <v>1708000</v>
          </cell>
          <cell r="S63">
            <v>3.27</v>
          </cell>
          <cell r="T63">
            <v>1.0249999999999999</v>
          </cell>
        </row>
        <row r="64">
          <cell r="A64">
            <v>36739</v>
          </cell>
          <cell r="B64">
            <v>1239500</v>
          </cell>
          <cell r="C64">
            <v>635500</v>
          </cell>
          <cell r="D64">
            <v>1300000</v>
          </cell>
          <cell r="E64">
            <v>3175000</v>
          </cell>
          <cell r="G64">
            <v>0</v>
          </cell>
          <cell r="H64">
            <v>-600000</v>
          </cell>
          <cell r="I64">
            <v>-600000</v>
          </cell>
          <cell r="K64">
            <v>-700000</v>
          </cell>
          <cell r="L64">
            <v>0</v>
          </cell>
          <cell r="M64">
            <v>-700000</v>
          </cell>
          <cell r="O64">
            <v>18000</v>
          </cell>
          <cell r="Q64">
            <v>1893000</v>
          </cell>
          <cell r="S64">
            <v>4.2300000000000004</v>
          </cell>
          <cell r="T64">
            <v>1.0249999999999999</v>
          </cell>
        </row>
        <row r="65">
          <cell r="A65">
            <v>36770</v>
          </cell>
          <cell r="B65">
            <v>845000</v>
          </cell>
          <cell r="C65">
            <v>615000</v>
          </cell>
          <cell r="D65">
            <v>1000000</v>
          </cell>
          <cell r="E65">
            <v>2460000</v>
          </cell>
          <cell r="G65">
            <v>0</v>
          </cell>
          <cell r="H65">
            <v>-600000</v>
          </cell>
          <cell r="I65">
            <v>-600000</v>
          </cell>
          <cell r="K65">
            <v>-400000</v>
          </cell>
          <cell r="L65">
            <v>0</v>
          </cell>
          <cell r="M65">
            <v>-400000</v>
          </cell>
          <cell r="O65">
            <v>20000</v>
          </cell>
          <cell r="Q65">
            <v>1480000</v>
          </cell>
          <cell r="S65">
            <v>4.2300000000000004</v>
          </cell>
          <cell r="T65">
            <v>1.0249999999999999</v>
          </cell>
        </row>
        <row r="66">
          <cell r="A66">
            <v>36800</v>
          </cell>
          <cell r="B66">
            <v>804500</v>
          </cell>
          <cell r="C66">
            <v>635500</v>
          </cell>
          <cell r="D66">
            <v>550000</v>
          </cell>
          <cell r="E66">
            <v>1990000</v>
          </cell>
          <cell r="G66">
            <v>0</v>
          </cell>
          <cell r="H66">
            <v>-300000</v>
          </cell>
          <cell r="I66">
            <v>-300000</v>
          </cell>
          <cell r="K66">
            <v>-250000</v>
          </cell>
          <cell r="L66">
            <v>0</v>
          </cell>
          <cell r="M66">
            <v>-250000</v>
          </cell>
          <cell r="O66">
            <v>25000</v>
          </cell>
          <cell r="Q66">
            <v>1465000</v>
          </cell>
          <cell r="S66">
            <v>4.8</v>
          </cell>
          <cell r="T66">
            <v>1.0249999999999999</v>
          </cell>
        </row>
        <row r="67">
          <cell r="A67">
            <v>36831</v>
          </cell>
          <cell r="B67">
            <v>1375000</v>
          </cell>
          <cell r="C67">
            <v>1015000</v>
          </cell>
          <cell r="D67">
            <v>-1000000</v>
          </cell>
          <cell r="E67">
            <v>1390000</v>
          </cell>
          <cell r="G67">
            <v>600000</v>
          </cell>
          <cell r="H67">
            <v>0</v>
          </cell>
          <cell r="I67">
            <v>600000</v>
          </cell>
          <cell r="K67">
            <v>0</v>
          </cell>
          <cell r="L67">
            <v>400000</v>
          </cell>
          <cell r="M67">
            <v>400000</v>
          </cell>
          <cell r="O67">
            <v>20000</v>
          </cell>
          <cell r="Q67">
            <v>2410000</v>
          </cell>
          <cell r="S67">
            <v>5.4</v>
          </cell>
          <cell r="T67">
            <v>1.0249999999999999</v>
          </cell>
        </row>
        <row r="68">
          <cell r="A68">
            <v>36861</v>
          </cell>
          <cell r="B68">
            <v>2163500</v>
          </cell>
          <cell r="C68">
            <v>1550500</v>
          </cell>
          <cell r="D68">
            <v>-1800000</v>
          </cell>
          <cell r="E68">
            <v>1914000</v>
          </cell>
          <cell r="G68">
            <v>885000</v>
          </cell>
          <cell r="H68">
            <v>0</v>
          </cell>
          <cell r="I68">
            <v>885000</v>
          </cell>
          <cell r="K68">
            <v>0</v>
          </cell>
          <cell r="L68">
            <v>915000</v>
          </cell>
          <cell r="M68">
            <v>915000</v>
          </cell>
          <cell r="O68">
            <v>20000</v>
          </cell>
          <cell r="Q68">
            <v>3734000</v>
          </cell>
          <cell r="S68">
            <v>5.4</v>
          </cell>
          <cell r="T68">
            <v>1.0249999999999999</v>
          </cell>
        </row>
        <row r="69">
          <cell r="A69">
            <v>36892</v>
          </cell>
          <cell r="B69">
            <v>2703500</v>
          </cell>
          <cell r="C69">
            <v>1670500</v>
          </cell>
          <cell r="D69">
            <v>-1800000</v>
          </cell>
          <cell r="E69">
            <v>2574000</v>
          </cell>
          <cell r="G69">
            <v>765000</v>
          </cell>
          <cell r="H69">
            <v>0</v>
          </cell>
          <cell r="I69">
            <v>765000</v>
          </cell>
          <cell r="K69">
            <v>0</v>
          </cell>
          <cell r="L69">
            <v>1035000</v>
          </cell>
          <cell r="M69">
            <v>1035000</v>
          </cell>
          <cell r="O69">
            <v>35000</v>
          </cell>
          <cell r="Q69">
            <v>4409000</v>
          </cell>
          <cell r="S69">
            <v>5.4</v>
          </cell>
          <cell r="T69">
            <v>1.0249999999999999</v>
          </cell>
        </row>
        <row r="70">
          <cell r="A70">
            <v>36923</v>
          </cell>
          <cell r="B70">
            <v>2052000</v>
          </cell>
          <cell r="C70">
            <v>1574000</v>
          </cell>
          <cell r="D70">
            <v>-1800000</v>
          </cell>
          <cell r="E70">
            <v>1826000</v>
          </cell>
          <cell r="G70">
            <v>800000</v>
          </cell>
          <cell r="H70">
            <v>0</v>
          </cell>
          <cell r="I70">
            <v>800000</v>
          </cell>
          <cell r="K70">
            <v>0</v>
          </cell>
          <cell r="L70">
            <v>1000000</v>
          </cell>
          <cell r="M70">
            <v>1000000</v>
          </cell>
          <cell r="O70">
            <v>35000</v>
          </cell>
          <cell r="Q70">
            <v>3661000</v>
          </cell>
          <cell r="S70">
            <v>7.42</v>
          </cell>
          <cell r="T70">
            <v>1.0249999999999999</v>
          </cell>
        </row>
        <row r="71">
          <cell r="A71">
            <v>36951</v>
          </cell>
          <cell r="B71">
            <v>1140500</v>
          </cell>
          <cell r="C71">
            <v>1085500</v>
          </cell>
          <cell r="D71">
            <v>-1100000</v>
          </cell>
          <cell r="E71">
            <v>1126000</v>
          </cell>
          <cell r="G71">
            <v>650000</v>
          </cell>
          <cell r="H71">
            <v>0</v>
          </cell>
          <cell r="I71">
            <v>650000</v>
          </cell>
          <cell r="K71">
            <v>0</v>
          </cell>
          <cell r="L71">
            <v>450000</v>
          </cell>
          <cell r="M71">
            <v>450000</v>
          </cell>
          <cell r="O71">
            <v>22500</v>
          </cell>
          <cell r="Q71">
            <v>2248500</v>
          </cell>
          <cell r="S71">
            <v>6</v>
          </cell>
          <cell r="T71">
            <v>1.0249999999999999</v>
          </cell>
        </row>
        <row r="72">
          <cell r="A72">
            <v>36982</v>
          </cell>
          <cell r="B72">
            <v>135000</v>
          </cell>
          <cell r="C72">
            <v>140000</v>
          </cell>
          <cell r="D72">
            <v>600000</v>
          </cell>
          <cell r="E72">
            <v>875000</v>
          </cell>
          <cell r="G72">
            <v>0</v>
          </cell>
          <cell r="H72">
            <v>-300000</v>
          </cell>
          <cell r="I72">
            <v>-300000</v>
          </cell>
          <cell r="K72">
            <v>-300000</v>
          </cell>
          <cell r="L72">
            <v>0</v>
          </cell>
          <cell r="M72">
            <v>-300000</v>
          </cell>
          <cell r="O72">
            <v>21000</v>
          </cell>
          <cell r="Q72">
            <v>296000</v>
          </cell>
          <cell r="S72">
            <v>5.41</v>
          </cell>
          <cell r="T72">
            <v>1.0249999999999999</v>
          </cell>
        </row>
        <row r="73">
          <cell r="A73">
            <v>37012</v>
          </cell>
          <cell r="B73">
            <v>464500</v>
          </cell>
          <cell r="C73">
            <v>360500</v>
          </cell>
          <cell r="D73">
            <v>600000</v>
          </cell>
          <cell r="E73">
            <v>1425000</v>
          </cell>
          <cell r="G73">
            <v>0</v>
          </cell>
          <cell r="H73">
            <v>-600000</v>
          </cell>
          <cell r="I73">
            <v>-600000</v>
          </cell>
          <cell r="K73">
            <v>-700000</v>
          </cell>
          <cell r="L73">
            <v>0</v>
          </cell>
          <cell r="M73">
            <v>-700000</v>
          </cell>
          <cell r="O73">
            <v>21000</v>
          </cell>
          <cell r="Q73">
            <v>146000</v>
          </cell>
          <cell r="S73">
            <v>5.24</v>
          </cell>
          <cell r="T73">
            <v>1.0249999999999999</v>
          </cell>
        </row>
        <row r="74">
          <cell r="A74">
            <v>37043</v>
          </cell>
          <cell r="B74">
            <v>362000</v>
          </cell>
          <cell r="C74">
            <v>440000</v>
          </cell>
          <cell r="D74">
            <v>600000</v>
          </cell>
          <cell r="E74">
            <v>1402000</v>
          </cell>
          <cell r="G74">
            <v>0</v>
          </cell>
          <cell r="H74">
            <v>-600000</v>
          </cell>
          <cell r="I74">
            <v>-600000</v>
          </cell>
          <cell r="K74">
            <v>-700000</v>
          </cell>
          <cell r="L74">
            <v>0</v>
          </cell>
          <cell r="M74">
            <v>-700000</v>
          </cell>
          <cell r="O74">
            <v>20000</v>
          </cell>
          <cell r="Q74">
            <v>122000</v>
          </cell>
          <cell r="S74">
            <v>5.09</v>
          </cell>
          <cell r="T74">
            <v>1.0249999999999999</v>
          </cell>
        </row>
        <row r="75">
          <cell r="A75">
            <v>37073</v>
          </cell>
          <cell r="B75">
            <v>243500</v>
          </cell>
          <cell r="C75">
            <v>420500</v>
          </cell>
          <cell r="D75">
            <v>700000</v>
          </cell>
          <cell r="E75">
            <v>1364000</v>
          </cell>
          <cell r="G75">
            <v>0</v>
          </cell>
          <cell r="H75">
            <v>-700000</v>
          </cell>
          <cell r="I75">
            <v>-700000</v>
          </cell>
          <cell r="K75">
            <v>-700000</v>
          </cell>
          <cell r="L75">
            <v>0</v>
          </cell>
          <cell r="M75">
            <v>-700000</v>
          </cell>
          <cell r="O75">
            <v>20000</v>
          </cell>
          <cell r="Q75">
            <v>-16000</v>
          </cell>
          <cell r="S75">
            <v>4.0599999999999996</v>
          </cell>
          <cell r="T75">
            <v>1.0249999999999999</v>
          </cell>
        </row>
        <row r="76">
          <cell r="A76">
            <v>37104</v>
          </cell>
          <cell r="B76">
            <v>439500</v>
          </cell>
          <cell r="C76">
            <v>435500</v>
          </cell>
          <cell r="D76">
            <v>600000</v>
          </cell>
          <cell r="E76">
            <v>1475000</v>
          </cell>
          <cell r="G76">
            <v>0</v>
          </cell>
          <cell r="H76">
            <v>-600000</v>
          </cell>
          <cell r="I76">
            <v>-600000</v>
          </cell>
          <cell r="K76">
            <v>-700000</v>
          </cell>
          <cell r="L76">
            <v>0</v>
          </cell>
          <cell r="M76">
            <v>-700000</v>
          </cell>
          <cell r="O76">
            <v>20000</v>
          </cell>
          <cell r="Q76">
            <v>195000</v>
          </cell>
          <cell r="S76">
            <v>3.89</v>
          </cell>
          <cell r="T76">
            <v>1.0249999999999999</v>
          </cell>
        </row>
        <row r="77">
          <cell r="A77">
            <v>37196</v>
          </cell>
          <cell r="B77">
            <v>744100</v>
          </cell>
          <cell r="C77">
            <v>1886000</v>
          </cell>
          <cell r="D77">
            <v>2296000</v>
          </cell>
          <cell r="E77">
            <v>4926100</v>
          </cell>
          <cell r="G77">
            <v>2296000</v>
          </cell>
          <cell r="H77">
            <v>0</v>
          </cell>
          <cell r="I77">
            <v>2296000</v>
          </cell>
          <cell r="K77">
            <v>0</v>
          </cell>
          <cell r="L77">
            <v>1920000</v>
          </cell>
          <cell r="M77">
            <v>1920000</v>
          </cell>
          <cell r="O77">
            <v>75000</v>
          </cell>
          <cell r="Q77">
            <v>9217100</v>
          </cell>
          <cell r="S77">
            <v>3.23</v>
          </cell>
          <cell r="T77">
            <v>1.0249999999999999</v>
          </cell>
        </row>
        <row r="78">
          <cell r="A78">
            <v>37288</v>
          </cell>
          <cell r="B78">
            <v>1027900</v>
          </cell>
          <cell r="C78">
            <v>1824500</v>
          </cell>
          <cell r="D78">
            <v>1737000</v>
          </cell>
          <cell r="E78">
            <v>4589400</v>
          </cell>
          <cell r="G78">
            <v>1737000</v>
          </cell>
          <cell r="H78">
            <v>0</v>
          </cell>
          <cell r="I78">
            <v>1737000</v>
          </cell>
          <cell r="K78">
            <v>0</v>
          </cell>
          <cell r="L78">
            <v>1720000</v>
          </cell>
          <cell r="M78">
            <v>1720000</v>
          </cell>
          <cell r="O78">
            <v>78500</v>
          </cell>
          <cell r="Q78">
            <v>8124900</v>
          </cell>
          <cell r="S78">
            <v>3</v>
          </cell>
          <cell r="T78">
            <v>1.0249999999999999</v>
          </cell>
        </row>
        <row r="79">
          <cell r="A79">
            <v>37377</v>
          </cell>
          <cell r="B79">
            <v>357750</v>
          </cell>
          <cell r="C79">
            <v>1886000</v>
          </cell>
          <cell r="D79">
            <v>1594500</v>
          </cell>
          <cell r="E79">
            <v>3838250</v>
          </cell>
          <cell r="H79">
            <v>-996500</v>
          </cell>
          <cell r="I79">
            <v>-996500</v>
          </cell>
          <cell r="K79">
            <v>-598000</v>
          </cell>
          <cell r="M79">
            <v>-598000</v>
          </cell>
          <cell r="O79">
            <v>61000</v>
          </cell>
          <cell r="Q79">
            <v>2304750</v>
          </cell>
          <cell r="S79">
            <v>3.3090000000000002</v>
          </cell>
          <cell r="T79">
            <v>1.0249999999999999</v>
          </cell>
        </row>
        <row r="80">
          <cell r="A80">
            <v>37469</v>
          </cell>
          <cell r="B80">
            <v>494300</v>
          </cell>
          <cell r="C80">
            <v>1886000</v>
          </cell>
          <cell r="D80">
            <v>1594500</v>
          </cell>
          <cell r="E80">
            <v>3974800</v>
          </cell>
          <cell r="H80">
            <v>-996500</v>
          </cell>
          <cell r="I80">
            <v>-996500</v>
          </cell>
          <cell r="K80">
            <v>-598000</v>
          </cell>
          <cell r="M80">
            <v>-598000</v>
          </cell>
          <cell r="O80">
            <v>61000</v>
          </cell>
          <cell r="Q80">
            <v>2441300</v>
          </cell>
          <cell r="S80">
            <v>3.28</v>
          </cell>
          <cell r="T80">
            <v>1.0249999999999999</v>
          </cell>
        </row>
        <row r="81">
          <cell r="A81">
            <v>37561</v>
          </cell>
          <cell r="B81">
            <v>8305065</v>
          </cell>
          <cell r="C81">
            <v>1886000</v>
          </cell>
          <cell r="D81">
            <v>-4756000</v>
          </cell>
          <cell r="E81">
            <v>5435065</v>
          </cell>
          <cell r="G81">
            <v>2296000</v>
          </cell>
          <cell r="I81">
            <v>2296000</v>
          </cell>
          <cell r="L81">
            <v>2460000</v>
          </cell>
          <cell r="M81">
            <v>2460000</v>
          </cell>
          <cell r="O81">
            <v>61000</v>
          </cell>
          <cell r="Q81">
            <v>10252065</v>
          </cell>
          <cell r="S81">
            <v>3.7610000000000001</v>
          </cell>
          <cell r="T81">
            <v>1.0249999999999999</v>
          </cell>
        </row>
        <row r="82">
          <cell r="A82">
            <v>37653</v>
          </cell>
          <cell r="B82">
            <v>4664065</v>
          </cell>
          <cell r="C82">
            <v>1824500</v>
          </cell>
          <cell r="D82">
            <v>-2921000</v>
          </cell>
          <cell r="E82">
            <v>3567565</v>
          </cell>
          <cell r="G82">
            <v>1701000</v>
          </cell>
          <cell r="I82">
            <v>1701000</v>
          </cell>
          <cell r="L82">
            <v>1220000</v>
          </cell>
          <cell r="M82">
            <v>1220000</v>
          </cell>
          <cell r="O82">
            <v>61000</v>
          </cell>
          <cell r="Q82">
            <v>6549565</v>
          </cell>
          <cell r="S82">
            <v>4.1559999999999997</v>
          </cell>
          <cell r="T82">
            <v>1.0249999999999999</v>
          </cell>
        </row>
        <row r="83">
          <cell r="A83">
            <v>37712</v>
          </cell>
          <cell r="B83">
            <v>201000</v>
          </cell>
          <cell r="C83">
            <v>615000</v>
          </cell>
          <cell r="D83">
            <v>264000</v>
          </cell>
          <cell r="E83">
            <v>1080000</v>
          </cell>
          <cell r="H83">
            <v>-264000</v>
          </cell>
          <cell r="I83">
            <v>-264000</v>
          </cell>
          <cell r="M83">
            <v>0</v>
          </cell>
          <cell r="O83">
            <v>61000</v>
          </cell>
          <cell r="Q83">
            <v>877000</v>
          </cell>
          <cell r="S83">
            <v>6.0359999999999996</v>
          </cell>
          <cell r="T83">
            <v>1.0249999999999999</v>
          </cell>
        </row>
        <row r="84">
          <cell r="A84">
            <v>37742</v>
          </cell>
          <cell r="B84">
            <v>551300</v>
          </cell>
          <cell r="C84">
            <v>1886000</v>
          </cell>
          <cell r="D84">
            <v>3284000</v>
          </cell>
          <cell r="E84">
            <v>5721300</v>
          </cell>
          <cell r="H84">
            <v>-1567000</v>
          </cell>
          <cell r="I84">
            <v>-1567000</v>
          </cell>
          <cell r="K84">
            <v>-1717000</v>
          </cell>
          <cell r="M84">
            <v>-1717000</v>
          </cell>
          <cell r="O84">
            <v>61000</v>
          </cell>
          <cell r="Q84">
            <v>2498300</v>
          </cell>
          <cell r="S84">
            <v>5.0979999999999999</v>
          </cell>
          <cell r="T84">
            <v>1.0249999999999999</v>
          </cell>
        </row>
        <row r="85">
          <cell r="A85">
            <v>37834</v>
          </cell>
          <cell r="B85">
            <v>346000</v>
          </cell>
          <cell r="C85">
            <v>1312500</v>
          </cell>
          <cell r="D85">
            <v>3290000</v>
          </cell>
          <cell r="E85">
            <v>4948500</v>
          </cell>
          <cell r="H85">
            <v>-1573000</v>
          </cell>
          <cell r="I85">
            <v>-1573000</v>
          </cell>
          <cell r="K85">
            <v>-1717000</v>
          </cell>
          <cell r="M85">
            <v>-1717000</v>
          </cell>
          <cell r="O85">
            <v>61000</v>
          </cell>
          <cell r="Q85">
            <v>1719500</v>
          </cell>
          <cell r="S85">
            <v>5.7990000000000004</v>
          </cell>
          <cell r="T85">
            <v>1.0249999999999999</v>
          </cell>
        </row>
        <row r="86">
          <cell r="A86">
            <v>37926</v>
          </cell>
          <cell r="B86">
            <v>6484000</v>
          </cell>
          <cell r="C86">
            <v>1886000</v>
          </cell>
          <cell r="D86">
            <v>-5000000</v>
          </cell>
          <cell r="E86">
            <v>3370000</v>
          </cell>
          <cell r="G86">
            <v>2300000</v>
          </cell>
          <cell r="H86">
            <v>0</v>
          </cell>
          <cell r="I86">
            <v>2300000</v>
          </cell>
          <cell r="K86">
            <v>0</v>
          </cell>
          <cell r="L86">
            <v>2700000</v>
          </cell>
          <cell r="M86">
            <v>2700000</v>
          </cell>
          <cell r="O86">
            <v>61000</v>
          </cell>
          <cell r="Q86">
            <v>8431000</v>
          </cell>
          <cell r="S86">
            <v>5.234</v>
          </cell>
          <cell r="T86">
            <v>1.0249999999999999</v>
          </cell>
        </row>
        <row r="87">
          <cell r="A87">
            <v>38018</v>
          </cell>
          <cell r="B87">
            <v>4059600</v>
          </cell>
          <cell r="C87">
            <v>1845000</v>
          </cell>
          <cell r="D87">
            <v>-1786600</v>
          </cell>
          <cell r="E87">
            <v>4118000</v>
          </cell>
          <cell r="G87">
            <v>1349100</v>
          </cell>
          <cell r="H87">
            <v>-513000</v>
          </cell>
          <cell r="I87">
            <v>836100</v>
          </cell>
          <cell r="K87">
            <v>-570000</v>
          </cell>
          <cell r="L87">
            <v>1520500</v>
          </cell>
          <cell r="M87">
            <v>950500</v>
          </cell>
          <cell r="O87">
            <v>61000</v>
          </cell>
          <cell r="Q87">
            <v>5965600</v>
          </cell>
          <cell r="S87">
            <v>5.5650000000000004</v>
          </cell>
          <cell r="T87">
            <v>1.0249999999999999</v>
          </cell>
        </row>
        <row r="88">
          <cell r="A88">
            <v>38108</v>
          </cell>
          <cell r="B88">
            <v>1511000</v>
          </cell>
          <cell r="C88">
            <v>92000</v>
          </cell>
          <cell r="D88">
            <v>3164000</v>
          </cell>
          <cell r="E88">
            <v>4767000</v>
          </cell>
          <cell r="G88">
            <v>0</v>
          </cell>
          <cell r="H88">
            <v>-1582000</v>
          </cell>
          <cell r="I88">
            <v>-1582000</v>
          </cell>
          <cell r="K88">
            <v>-1582000</v>
          </cell>
          <cell r="L88">
            <v>0</v>
          </cell>
          <cell r="M88">
            <v>-1582000</v>
          </cell>
          <cell r="O88">
            <v>61000</v>
          </cell>
          <cell r="Q88">
            <v>1664000</v>
          </cell>
          <cell r="S88">
            <v>5.5229999999999997</v>
          </cell>
          <cell r="T88">
            <v>1.0249999999999999</v>
          </cell>
        </row>
        <row r="89">
          <cell r="A89">
            <v>38200</v>
          </cell>
          <cell r="B89">
            <v>1686000</v>
          </cell>
          <cell r="C89">
            <v>92000</v>
          </cell>
          <cell r="D89">
            <v>4196000</v>
          </cell>
          <cell r="E89">
            <v>5974000</v>
          </cell>
          <cell r="G89">
            <v>0</v>
          </cell>
          <cell r="H89">
            <v>-1573000</v>
          </cell>
          <cell r="I89">
            <v>-1573000</v>
          </cell>
          <cell r="K89">
            <v>-2623000</v>
          </cell>
          <cell r="M89">
            <v>-2623000</v>
          </cell>
          <cell r="O89">
            <v>61000</v>
          </cell>
          <cell r="Q89">
            <v>1839000</v>
          </cell>
          <cell r="S89">
            <v>6.4210000000000003</v>
          </cell>
          <cell r="T89">
            <v>1.0249999999999999</v>
          </cell>
        </row>
        <row r="90">
          <cell r="A90">
            <v>38292</v>
          </cell>
          <cell r="B90">
            <v>7989900</v>
          </cell>
          <cell r="C90">
            <v>92000</v>
          </cell>
          <cell r="D90">
            <v>-6064000</v>
          </cell>
          <cell r="E90">
            <v>2017900</v>
          </cell>
          <cell r="G90">
            <v>2300000</v>
          </cell>
          <cell r="H90">
            <v>0</v>
          </cell>
          <cell r="I90">
            <v>2300000</v>
          </cell>
          <cell r="K90">
            <v>0</v>
          </cell>
          <cell r="L90">
            <v>3764000</v>
          </cell>
          <cell r="M90">
            <v>3764000</v>
          </cell>
          <cell r="O90">
            <v>61000</v>
          </cell>
          <cell r="Q90">
            <v>8142900</v>
          </cell>
          <cell r="S90">
            <v>6.3070000000000004</v>
          </cell>
          <cell r="T90">
            <v>1.0249999999999999</v>
          </cell>
        </row>
        <row r="91">
          <cell r="A91">
            <v>38384</v>
          </cell>
          <cell r="B91">
            <v>5224800</v>
          </cell>
          <cell r="C91">
            <v>89000</v>
          </cell>
          <cell r="D91">
            <v>-2478100</v>
          </cell>
          <cell r="E91">
            <v>2835700</v>
          </cell>
          <cell r="G91">
            <v>1349100</v>
          </cell>
          <cell r="H91">
            <v>-495000</v>
          </cell>
          <cell r="I91">
            <v>854100</v>
          </cell>
          <cell r="K91">
            <v>-495000</v>
          </cell>
          <cell r="L91">
            <v>2119000</v>
          </cell>
          <cell r="M91">
            <v>1624000</v>
          </cell>
          <cell r="O91">
            <v>61000</v>
          </cell>
          <cell r="Q91">
            <v>5374800</v>
          </cell>
          <cell r="S91">
            <v>6.3168629726635404</v>
          </cell>
          <cell r="T91">
            <v>1.0249999999999999</v>
          </cell>
        </row>
        <row r="92">
          <cell r="A92">
            <v>38473</v>
          </cell>
          <cell r="B92">
            <v>1291100.0000000005</v>
          </cell>
          <cell r="C92">
            <v>92000</v>
          </cell>
          <cell r="D92">
            <v>4560968.6500000004</v>
          </cell>
          <cell r="E92">
            <v>5944068.6500000004</v>
          </cell>
          <cell r="H92">
            <v>-2224546.25</v>
          </cell>
          <cell r="I92">
            <v>-2224546.25</v>
          </cell>
          <cell r="K92">
            <v>-2336422.4</v>
          </cell>
          <cell r="M92">
            <v>-2336422.4</v>
          </cell>
          <cell r="O92">
            <v>61000</v>
          </cell>
          <cell r="Q92">
            <v>1444100.0000000005</v>
          </cell>
          <cell r="S92">
            <v>7.391</v>
          </cell>
          <cell r="T92">
            <v>1.0249999999999999</v>
          </cell>
        </row>
        <row r="93">
          <cell r="A93">
            <v>38565</v>
          </cell>
          <cell r="B93">
            <v>1320401</v>
          </cell>
          <cell r="C93">
            <v>92000</v>
          </cell>
          <cell r="D93">
            <v>3573658</v>
          </cell>
          <cell r="E93">
            <v>4986059</v>
          </cell>
          <cell r="F93">
            <v>0</v>
          </cell>
          <cell r="G93">
            <v>0</v>
          </cell>
          <cell r="H93">
            <v>-1902589</v>
          </cell>
          <cell r="I93">
            <v>-1902589</v>
          </cell>
          <cell r="J93">
            <v>0</v>
          </cell>
          <cell r="K93">
            <v>-1671069</v>
          </cell>
          <cell r="L93">
            <v>0</v>
          </cell>
          <cell r="M93">
            <v>-1671069</v>
          </cell>
          <cell r="N93">
            <v>0</v>
          </cell>
          <cell r="O93">
            <v>61000</v>
          </cell>
          <cell r="P93">
            <v>0</v>
          </cell>
          <cell r="Q93">
            <v>1473401</v>
          </cell>
          <cell r="R93">
            <v>0</v>
          </cell>
          <cell r="S93">
            <v>7.6529999999999996</v>
          </cell>
          <cell r="T93">
            <v>1.0249999999999999</v>
          </cell>
        </row>
        <row r="94">
          <cell r="A94">
            <v>38657</v>
          </cell>
          <cell r="B94">
            <v>7522200</v>
          </cell>
          <cell r="C94">
            <v>92000</v>
          </cell>
          <cell r="D94">
            <v>-6072000</v>
          </cell>
          <cell r="E94">
            <v>1542200</v>
          </cell>
          <cell r="G94">
            <v>2300000</v>
          </cell>
          <cell r="H94">
            <v>0</v>
          </cell>
          <cell r="I94">
            <v>2300000</v>
          </cell>
          <cell r="K94">
            <v>0</v>
          </cell>
          <cell r="L94">
            <v>3772000</v>
          </cell>
          <cell r="M94">
            <v>-3772000</v>
          </cell>
          <cell r="O94">
            <v>61000</v>
          </cell>
          <cell r="Q94">
            <v>131200</v>
          </cell>
          <cell r="S94">
            <v>9.5749999999999993</v>
          </cell>
          <cell r="T94">
            <v>1.0249999999999999</v>
          </cell>
        </row>
        <row r="95">
          <cell r="A95">
            <v>38749</v>
          </cell>
          <cell r="B95">
            <v>5178200</v>
          </cell>
          <cell r="C95">
            <v>91000</v>
          </cell>
          <cell r="D95">
            <v>-2574100</v>
          </cell>
          <cell r="E95">
            <v>2695100</v>
          </cell>
          <cell r="G95">
            <v>1349100</v>
          </cell>
          <cell r="H95">
            <v>-444909</v>
          </cell>
          <cell r="I95">
            <v>854100</v>
          </cell>
          <cell r="K95">
            <v>-467284</v>
          </cell>
          <cell r="L95">
            <v>2215000</v>
          </cell>
          <cell r="M95">
            <v>1747716</v>
          </cell>
          <cell r="O95">
            <v>61000</v>
          </cell>
          <cell r="Q95">
            <v>5357916</v>
          </cell>
          <cell r="S95">
            <v>12.723000000000001</v>
          </cell>
          <cell r="T95">
            <v>1.0249999999999999</v>
          </cell>
        </row>
        <row r="96">
          <cell r="A96">
            <v>38838</v>
          </cell>
          <cell r="B96">
            <v>695100</v>
          </cell>
          <cell r="C96">
            <v>91000</v>
          </cell>
          <cell r="D96">
            <v>5361000</v>
          </cell>
          <cell r="E96">
            <v>6147100</v>
          </cell>
          <cell r="H96">
            <v>-3025257</v>
          </cell>
          <cell r="I96">
            <v>-3025257</v>
          </cell>
          <cell r="K96">
            <v>-2335743</v>
          </cell>
          <cell r="M96">
            <v>-2335743</v>
          </cell>
          <cell r="O96">
            <v>61000</v>
          </cell>
          <cell r="Q96">
            <v>847100</v>
          </cell>
          <cell r="S96">
            <v>7.194</v>
          </cell>
          <cell r="T96">
            <v>1.0249999999999999</v>
          </cell>
        </row>
        <row r="97">
          <cell r="A97">
            <v>38930</v>
          </cell>
          <cell r="B97">
            <v>1507500</v>
          </cell>
          <cell r="C97">
            <v>91000</v>
          </cell>
          <cell r="D97">
            <v>1786997</v>
          </cell>
          <cell r="E97">
            <v>3385497</v>
          </cell>
          <cell r="H97">
            <v>-1008417</v>
          </cell>
          <cell r="I97">
            <v>-1008417</v>
          </cell>
          <cell r="K97">
            <v>-778580</v>
          </cell>
          <cell r="M97">
            <v>-778580</v>
          </cell>
          <cell r="O97">
            <v>61000</v>
          </cell>
          <cell r="Q97">
            <v>1659500</v>
          </cell>
          <cell r="S97">
            <v>7.218</v>
          </cell>
          <cell r="T97">
            <v>1.0249999999999999</v>
          </cell>
        </row>
        <row r="98">
          <cell r="A98">
            <v>39022</v>
          </cell>
          <cell r="B98">
            <v>7741200</v>
          </cell>
          <cell r="C98">
            <v>91000</v>
          </cell>
          <cell r="D98">
            <v>-6072000</v>
          </cell>
          <cell r="E98">
            <v>1760200</v>
          </cell>
          <cell r="G98">
            <v>340681</v>
          </cell>
          <cell r="I98">
            <v>340681</v>
          </cell>
          <cell r="L98">
            <v>1436419</v>
          </cell>
          <cell r="M98">
            <v>1436419</v>
          </cell>
          <cell r="O98">
            <v>61000</v>
          </cell>
          <cell r="Q98">
            <v>3598300</v>
          </cell>
          <cell r="S98">
            <v>8.5809999999999995</v>
          </cell>
          <cell r="T98">
            <v>1.0249999999999999</v>
          </cell>
        </row>
        <row r="99">
          <cell r="A99">
            <v>39114</v>
          </cell>
          <cell r="B99">
            <v>5238800</v>
          </cell>
          <cell r="C99">
            <v>91000</v>
          </cell>
          <cell r="D99">
            <v>-1787000</v>
          </cell>
          <cell r="E99">
            <v>3552700</v>
          </cell>
          <cell r="G99">
            <v>1349100</v>
          </cell>
          <cell r="H99">
            <v>-1008419</v>
          </cell>
          <cell r="I99">
            <v>340681</v>
          </cell>
          <cell r="K99">
            <v>-778581</v>
          </cell>
          <cell r="L99">
            <v>2215000</v>
          </cell>
          <cell r="M99">
            <v>1436419</v>
          </cell>
          <cell r="O99">
            <v>61000</v>
          </cell>
          <cell r="Q99">
            <v>5390800</v>
          </cell>
          <cell r="S99">
            <v>6.5910000000000002</v>
          </cell>
          <cell r="T99">
            <v>1.0249999999999999</v>
          </cell>
        </row>
        <row r="100">
          <cell r="A100">
            <v>54789</v>
          </cell>
          <cell r="C100" t="str">
            <v>.</v>
          </cell>
        </row>
      </sheetData>
      <sheetData sheetId="8">
        <row r="10">
          <cell r="A10">
            <v>35065</v>
          </cell>
          <cell r="B10">
            <v>452500</v>
          </cell>
          <cell r="C10">
            <v>75500</v>
          </cell>
          <cell r="D10">
            <v>6500</v>
          </cell>
          <cell r="E10">
            <v>534500</v>
          </cell>
          <cell r="G10">
            <v>-5000</v>
          </cell>
          <cell r="H10">
            <v>0</v>
          </cell>
          <cell r="I10">
            <v>-5000</v>
          </cell>
          <cell r="K10">
            <v>-1500</v>
          </cell>
          <cell r="L10">
            <v>0</v>
          </cell>
          <cell r="M10">
            <v>-1500</v>
          </cell>
          <cell r="O10">
            <v>-6500</v>
          </cell>
          <cell r="Q10">
            <v>240660</v>
          </cell>
          <cell r="R10">
            <v>0</v>
          </cell>
          <cell r="S10">
            <v>240660</v>
          </cell>
          <cell r="U10">
            <v>45840</v>
          </cell>
          <cell r="V10">
            <v>0</v>
          </cell>
          <cell r="W10">
            <v>45840</v>
          </cell>
          <cell r="Y10">
            <v>286500</v>
          </cell>
          <cell r="Z10">
            <v>280000</v>
          </cell>
          <cell r="AA10">
            <v>814500</v>
          </cell>
          <cell r="AB10">
            <v>2</v>
          </cell>
          <cell r="AC10">
            <v>1.04</v>
          </cell>
        </row>
        <row r="11">
          <cell r="A11">
            <v>35096</v>
          </cell>
          <cell r="B11">
            <v>477000</v>
          </cell>
          <cell r="C11">
            <v>66200</v>
          </cell>
          <cell r="D11">
            <v>10000</v>
          </cell>
          <cell r="E11">
            <v>553200</v>
          </cell>
          <cell r="G11">
            <v>-3000</v>
          </cell>
          <cell r="H11">
            <v>0</v>
          </cell>
          <cell r="I11">
            <v>-3000</v>
          </cell>
          <cell r="K11">
            <v>-7000</v>
          </cell>
          <cell r="L11">
            <v>0</v>
          </cell>
          <cell r="M11">
            <v>-7000</v>
          </cell>
          <cell r="O11">
            <v>-10000</v>
          </cell>
          <cell r="Q11">
            <v>285000</v>
          </cell>
          <cell r="R11">
            <v>0</v>
          </cell>
          <cell r="S11">
            <v>285000</v>
          </cell>
          <cell r="U11">
            <v>5000</v>
          </cell>
          <cell r="V11">
            <v>0</v>
          </cell>
          <cell r="W11">
            <v>5000</v>
          </cell>
          <cell r="Y11">
            <v>290000</v>
          </cell>
          <cell r="Z11">
            <v>280000</v>
          </cell>
          <cell r="AA11">
            <v>833200</v>
          </cell>
          <cell r="AB11">
            <v>2.5</v>
          </cell>
          <cell r="AC11">
            <v>1.04</v>
          </cell>
        </row>
        <row r="12">
          <cell r="A12">
            <v>35125</v>
          </cell>
          <cell r="B12">
            <v>403000</v>
          </cell>
          <cell r="C12">
            <v>68200</v>
          </cell>
          <cell r="D12">
            <v>2500</v>
          </cell>
          <cell r="E12">
            <v>473700</v>
          </cell>
          <cell r="G12">
            <v>-1000</v>
          </cell>
          <cell r="H12">
            <v>0</v>
          </cell>
          <cell r="I12">
            <v>-1000</v>
          </cell>
          <cell r="K12">
            <v>-1500</v>
          </cell>
          <cell r="L12">
            <v>0</v>
          </cell>
          <cell r="M12">
            <v>-1500</v>
          </cell>
          <cell r="O12">
            <v>-2500</v>
          </cell>
          <cell r="Q12">
            <v>15500</v>
          </cell>
          <cell r="R12">
            <v>0</v>
          </cell>
          <cell r="S12">
            <v>15500</v>
          </cell>
          <cell r="U12">
            <v>62000</v>
          </cell>
          <cell r="V12">
            <v>0</v>
          </cell>
          <cell r="W12">
            <v>62000</v>
          </cell>
          <cell r="Y12">
            <v>77500</v>
          </cell>
          <cell r="Z12">
            <v>75000</v>
          </cell>
          <cell r="AA12">
            <v>548700</v>
          </cell>
          <cell r="AB12">
            <v>2</v>
          </cell>
          <cell r="AC12">
            <v>1.04</v>
          </cell>
        </row>
        <row r="13">
          <cell r="A13">
            <v>35156</v>
          </cell>
          <cell r="B13">
            <v>194215</v>
          </cell>
          <cell r="C13">
            <v>32550</v>
          </cell>
          <cell r="D13">
            <v>124000</v>
          </cell>
          <cell r="E13">
            <v>350765</v>
          </cell>
          <cell r="G13">
            <v>-49600</v>
          </cell>
          <cell r="H13">
            <v>0</v>
          </cell>
          <cell r="I13">
            <v>-49600</v>
          </cell>
          <cell r="K13">
            <v>-74400</v>
          </cell>
          <cell r="L13">
            <v>0</v>
          </cell>
          <cell r="M13">
            <v>-74400</v>
          </cell>
          <cell r="O13">
            <v>-124000</v>
          </cell>
          <cell r="Q13">
            <v>0</v>
          </cell>
          <cell r="R13">
            <v>0</v>
          </cell>
          <cell r="S13">
            <v>0</v>
          </cell>
          <cell r="U13">
            <v>0</v>
          </cell>
          <cell r="V13">
            <v>0</v>
          </cell>
          <cell r="W13">
            <v>0</v>
          </cell>
          <cell r="Y13">
            <v>0</v>
          </cell>
          <cell r="Z13">
            <v>-124000</v>
          </cell>
          <cell r="AA13">
            <v>226765</v>
          </cell>
          <cell r="AB13">
            <v>2.4</v>
          </cell>
          <cell r="AC13">
            <v>1.04</v>
          </cell>
        </row>
        <row r="14">
          <cell r="A14">
            <v>35186</v>
          </cell>
          <cell r="B14">
            <v>131130</v>
          </cell>
          <cell r="C14">
            <v>27683</v>
          </cell>
          <cell r="D14">
            <v>200000</v>
          </cell>
          <cell r="E14">
            <v>358813</v>
          </cell>
          <cell r="G14">
            <v>-80000</v>
          </cell>
          <cell r="H14">
            <v>0</v>
          </cell>
          <cell r="I14">
            <v>-80000</v>
          </cell>
          <cell r="K14">
            <v>-120000</v>
          </cell>
          <cell r="L14">
            <v>0</v>
          </cell>
          <cell r="M14">
            <v>-120000</v>
          </cell>
          <cell r="O14">
            <v>-200000</v>
          </cell>
          <cell r="Q14">
            <v>0</v>
          </cell>
          <cell r="R14">
            <v>0</v>
          </cell>
          <cell r="S14">
            <v>0</v>
          </cell>
          <cell r="U14">
            <v>0</v>
          </cell>
          <cell r="V14">
            <v>0</v>
          </cell>
          <cell r="W14">
            <v>0</v>
          </cell>
          <cell r="Y14">
            <v>0</v>
          </cell>
          <cell r="Z14">
            <v>-200000</v>
          </cell>
          <cell r="AA14">
            <v>158813</v>
          </cell>
          <cell r="AB14">
            <v>2.5</v>
          </cell>
          <cell r="AC14">
            <v>1.04</v>
          </cell>
        </row>
        <row r="15">
          <cell r="A15">
            <v>35217</v>
          </cell>
          <cell r="B15">
            <v>192000</v>
          </cell>
          <cell r="C15">
            <v>16500</v>
          </cell>
          <cell r="D15">
            <v>200000</v>
          </cell>
          <cell r="E15">
            <v>408500</v>
          </cell>
          <cell r="G15">
            <v>-180000</v>
          </cell>
          <cell r="H15">
            <v>0</v>
          </cell>
          <cell r="I15">
            <v>-180000</v>
          </cell>
          <cell r="K15">
            <v>-20000</v>
          </cell>
          <cell r="L15">
            <v>0</v>
          </cell>
          <cell r="M15">
            <v>-20000</v>
          </cell>
          <cell r="O15">
            <v>-200000</v>
          </cell>
          <cell r="Q15">
            <v>0</v>
          </cell>
          <cell r="R15">
            <v>0</v>
          </cell>
          <cell r="S15">
            <v>0</v>
          </cell>
          <cell r="U15">
            <v>0</v>
          </cell>
          <cell r="V15">
            <v>0</v>
          </cell>
          <cell r="W15">
            <v>0</v>
          </cell>
          <cell r="Y15">
            <v>0</v>
          </cell>
          <cell r="Z15">
            <v>-200000</v>
          </cell>
          <cell r="AA15">
            <v>208500</v>
          </cell>
          <cell r="AB15">
            <v>2.4500000000000002</v>
          </cell>
          <cell r="AC15">
            <v>1.04</v>
          </cell>
        </row>
        <row r="16">
          <cell r="A16">
            <v>35247</v>
          </cell>
          <cell r="B16">
            <v>136400</v>
          </cell>
          <cell r="C16">
            <v>18600</v>
          </cell>
          <cell r="D16">
            <v>238000</v>
          </cell>
          <cell r="E16">
            <v>393000</v>
          </cell>
          <cell r="G16">
            <v>-190400</v>
          </cell>
          <cell r="H16">
            <v>0</v>
          </cell>
          <cell r="I16">
            <v>-190400</v>
          </cell>
          <cell r="K16">
            <v>-47600</v>
          </cell>
          <cell r="L16">
            <v>0</v>
          </cell>
          <cell r="M16">
            <v>-47600</v>
          </cell>
          <cell r="O16">
            <v>-238000</v>
          </cell>
          <cell r="Q16">
            <v>0</v>
          </cell>
          <cell r="R16">
            <v>0</v>
          </cell>
          <cell r="S16">
            <v>0</v>
          </cell>
          <cell r="U16">
            <v>0</v>
          </cell>
          <cell r="V16">
            <v>0</v>
          </cell>
          <cell r="W16">
            <v>0</v>
          </cell>
          <cell r="Y16">
            <v>0</v>
          </cell>
          <cell r="Z16">
            <v>-238000</v>
          </cell>
          <cell r="AA16">
            <v>155000</v>
          </cell>
          <cell r="AB16">
            <v>2.2999999999999998</v>
          </cell>
          <cell r="AC16">
            <v>1.04</v>
          </cell>
        </row>
        <row r="17">
          <cell r="A17">
            <v>35278</v>
          </cell>
          <cell r="B17">
            <v>240000</v>
          </cell>
          <cell r="C17">
            <v>10075</v>
          </cell>
          <cell r="D17">
            <v>166000</v>
          </cell>
          <cell r="E17">
            <v>416075</v>
          </cell>
          <cell r="G17">
            <v>-132800</v>
          </cell>
          <cell r="H17">
            <v>0</v>
          </cell>
          <cell r="I17">
            <v>-132800</v>
          </cell>
          <cell r="K17">
            <v>-33200</v>
          </cell>
          <cell r="L17">
            <v>0</v>
          </cell>
          <cell r="M17">
            <v>-33200</v>
          </cell>
          <cell r="O17">
            <v>-166000</v>
          </cell>
          <cell r="Q17">
            <v>0</v>
          </cell>
          <cell r="R17">
            <v>0</v>
          </cell>
          <cell r="S17">
            <v>0</v>
          </cell>
          <cell r="U17">
            <v>0</v>
          </cell>
          <cell r="V17">
            <v>0</v>
          </cell>
          <cell r="W17">
            <v>0</v>
          </cell>
          <cell r="Y17">
            <v>0</v>
          </cell>
          <cell r="Z17">
            <v>-166000</v>
          </cell>
          <cell r="AA17">
            <v>250075</v>
          </cell>
          <cell r="AB17">
            <v>2.75</v>
          </cell>
          <cell r="AC17">
            <v>1.04</v>
          </cell>
        </row>
        <row r="18">
          <cell r="A18">
            <v>35309</v>
          </cell>
          <cell r="B18">
            <v>112500</v>
          </cell>
          <cell r="C18">
            <v>5100</v>
          </cell>
          <cell r="D18">
            <v>120000</v>
          </cell>
          <cell r="E18">
            <v>237600</v>
          </cell>
          <cell r="G18">
            <v>-96000</v>
          </cell>
          <cell r="H18">
            <v>0</v>
          </cell>
          <cell r="I18">
            <v>-96000</v>
          </cell>
          <cell r="K18">
            <v>-24000</v>
          </cell>
          <cell r="L18">
            <v>0</v>
          </cell>
          <cell r="M18">
            <v>-24000</v>
          </cell>
          <cell r="O18">
            <v>-120000</v>
          </cell>
          <cell r="Q18">
            <v>0</v>
          </cell>
          <cell r="R18">
            <v>0</v>
          </cell>
          <cell r="S18">
            <v>0</v>
          </cell>
          <cell r="U18">
            <v>0</v>
          </cell>
          <cell r="V18">
            <v>0</v>
          </cell>
          <cell r="W18">
            <v>0</v>
          </cell>
          <cell r="Y18">
            <v>0</v>
          </cell>
          <cell r="Z18">
            <v>-120000</v>
          </cell>
          <cell r="AA18">
            <v>117600</v>
          </cell>
          <cell r="AB18">
            <v>2.35</v>
          </cell>
          <cell r="AC18">
            <v>1.04</v>
          </cell>
        </row>
        <row r="19">
          <cell r="A19">
            <v>35339</v>
          </cell>
          <cell r="B19">
            <v>110700</v>
          </cell>
          <cell r="C19">
            <v>5400</v>
          </cell>
          <cell r="D19">
            <v>50000</v>
          </cell>
          <cell r="E19">
            <v>166100</v>
          </cell>
          <cell r="G19">
            <v>-32000</v>
          </cell>
          <cell r="H19">
            <v>0</v>
          </cell>
          <cell r="I19">
            <v>-32000</v>
          </cell>
          <cell r="K19">
            <v>-18000</v>
          </cell>
          <cell r="L19">
            <v>0</v>
          </cell>
          <cell r="M19">
            <v>-18000</v>
          </cell>
          <cell r="O19">
            <v>-50000</v>
          </cell>
          <cell r="Q19">
            <v>0</v>
          </cell>
          <cell r="R19">
            <v>0</v>
          </cell>
          <cell r="S19">
            <v>0</v>
          </cell>
          <cell r="U19">
            <v>0</v>
          </cell>
          <cell r="V19">
            <v>0</v>
          </cell>
          <cell r="W19">
            <v>0</v>
          </cell>
          <cell r="Y19">
            <v>0</v>
          </cell>
          <cell r="Z19">
            <v>-50000</v>
          </cell>
          <cell r="AA19">
            <v>116100</v>
          </cell>
          <cell r="AB19">
            <v>2.15</v>
          </cell>
          <cell r="AC19">
            <v>1.04</v>
          </cell>
        </row>
        <row r="20">
          <cell r="A20">
            <v>35370</v>
          </cell>
          <cell r="B20">
            <v>240000</v>
          </cell>
          <cell r="C20">
            <v>33000</v>
          </cell>
          <cell r="D20">
            <v>0</v>
          </cell>
          <cell r="E20">
            <v>273000</v>
          </cell>
          <cell r="G20">
            <v>0</v>
          </cell>
          <cell r="H20">
            <v>0</v>
          </cell>
          <cell r="I20">
            <v>0</v>
          </cell>
          <cell r="K20">
            <v>0</v>
          </cell>
          <cell r="L20">
            <v>0</v>
          </cell>
          <cell r="M20">
            <v>0</v>
          </cell>
          <cell r="O20">
            <v>0</v>
          </cell>
          <cell r="Q20">
            <v>153000</v>
          </cell>
          <cell r="R20">
            <v>0</v>
          </cell>
          <cell r="S20">
            <v>153000</v>
          </cell>
          <cell r="U20">
            <v>10000</v>
          </cell>
          <cell r="V20">
            <v>0</v>
          </cell>
          <cell r="W20">
            <v>10000</v>
          </cell>
          <cell r="Y20">
            <v>163000</v>
          </cell>
          <cell r="Z20">
            <v>163000</v>
          </cell>
          <cell r="AA20">
            <v>436000</v>
          </cell>
          <cell r="AB20">
            <v>2.2999999999999998</v>
          </cell>
          <cell r="AC20">
            <v>1.04</v>
          </cell>
        </row>
        <row r="21">
          <cell r="A21">
            <v>35400</v>
          </cell>
          <cell r="B21">
            <v>450000</v>
          </cell>
          <cell r="C21">
            <v>60000</v>
          </cell>
          <cell r="D21">
            <v>0</v>
          </cell>
          <cell r="E21">
            <v>510000</v>
          </cell>
          <cell r="G21">
            <v>0</v>
          </cell>
          <cell r="H21">
            <v>0</v>
          </cell>
          <cell r="I21">
            <v>0</v>
          </cell>
          <cell r="K21">
            <v>0</v>
          </cell>
          <cell r="L21">
            <v>0</v>
          </cell>
          <cell r="M21">
            <v>0</v>
          </cell>
          <cell r="O21">
            <v>0</v>
          </cell>
          <cell r="Q21">
            <v>150000</v>
          </cell>
          <cell r="R21">
            <v>0</v>
          </cell>
          <cell r="S21">
            <v>150000</v>
          </cell>
          <cell r="U21">
            <v>50000</v>
          </cell>
          <cell r="V21">
            <v>0</v>
          </cell>
          <cell r="W21">
            <v>50000</v>
          </cell>
          <cell r="Y21">
            <v>200000</v>
          </cell>
          <cell r="Z21">
            <v>200000</v>
          </cell>
          <cell r="AA21">
            <v>710000</v>
          </cell>
          <cell r="AB21">
            <v>2.85</v>
          </cell>
          <cell r="AC21">
            <v>1.04</v>
          </cell>
        </row>
        <row r="22">
          <cell r="A22">
            <v>35431</v>
          </cell>
          <cell r="B22">
            <v>377000</v>
          </cell>
          <cell r="C22">
            <v>52000</v>
          </cell>
          <cell r="D22">
            <v>0</v>
          </cell>
          <cell r="E22">
            <v>429000</v>
          </cell>
          <cell r="G22">
            <v>0</v>
          </cell>
          <cell r="H22">
            <v>0</v>
          </cell>
          <cell r="I22">
            <v>0</v>
          </cell>
          <cell r="K22">
            <v>0</v>
          </cell>
          <cell r="L22">
            <v>0</v>
          </cell>
          <cell r="M22">
            <v>0</v>
          </cell>
          <cell r="O22">
            <v>0</v>
          </cell>
          <cell r="Q22">
            <v>262000</v>
          </cell>
          <cell r="R22">
            <v>0</v>
          </cell>
          <cell r="S22">
            <v>262000</v>
          </cell>
          <cell r="U22">
            <v>76000</v>
          </cell>
          <cell r="V22">
            <v>0</v>
          </cell>
          <cell r="W22">
            <v>76000</v>
          </cell>
          <cell r="Y22">
            <v>338000</v>
          </cell>
          <cell r="Z22">
            <v>338000</v>
          </cell>
          <cell r="AA22">
            <v>767000</v>
          </cell>
          <cell r="AB22">
            <v>3.15</v>
          </cell>
          <cell r="AC22">
            <v>1.04</v>
          </cell>
        </row>
        <row r="23">
          <cell r="A23">
            <v>35462</v>
          </cell>
          <cell r="B23">
            <v>313000</v>
          </cell>
          <cell r="C23">
            <v>50000</v>
          </cell>
          <cell r="D23">
            <v>0</v>
          </cell>
          <cell r="E23">
            <v>363000</v>
          </cell>
          <cell r="G23">
            <v>0</v>
          </cell>
          <cell r="H23">
            <v>0</v>
          </cell>
          <cell r="I23">
            <v>0</v>
          </cell>
          <cell r="K23">
            <v>0</v>
          </cell>
          <cell r="L23">
            <v>0</v>
          </cell>
          <cell r="M23">
            <v>0</v>
          </cell>
          <cell r="O23">
            <v>0</v>
          </cell>
          <cell r="Q23">
            <v>217000</v>
          </cell>
          <cell r="R23">
            <v>0</v>
          </cell>
          <cell r="S23">
            <v>217000</v>
          </cell>
          <cell r="U23">
            <v>60000</v>
          </cell>
          <cell r="V23">
            <v>0</v>
          </cell>
          <cell r="W23">
            <v>60000</v>
          </cell>
          <cell r="Y23">
            <v>277000</v>
          </cell>
          <cell r="Z23">
            <v>277000</v>
          </cell>
          <cell r="AA23">
            <v>640000</v>
          </cell>
          <cell r="AB23">
            <v>3.3</v>
          </cell>
          <cell r="AC23">
            <v>1.04</v>
          </cell>
        </row>
        <row r="24">
          <cell r="A24">
            <v>35490</v>
          </cell>
          <cell r="B24">
            <v>275000</v>
          </cell>
          <cell r="C24">
            <v>35000</v>
          </cell>
          <cell r="D24">
            <v>0</v>
          </cell>
          <cell r="E24">
            <v>310000</v>
          </cell>
          <cell r="G24">
            <v>0</v>
          </cell>
          <cell r="H24">
            <v>0</v>
          </cell>
          <cell r="I24">
            <v>0</v>
          </cell>
          <cell r="K24">
            <v>0</v>
          </cell>
          <cell r="L24">
            <v>0</v>
          </cell>
          <cell r="M24">
            <v>0</v>
          </cell>
          <cell r="O24">
            <v>0</v>
          </cell>
          <cell r="Q24">
            <v>75000</v>
          </cell>
          <cell r="R24">
            <v>0</v>
          </cell>
          <cell r="S24">
            <v>75000</v>
          </cell>
          <cell r="U24">
            <v>50000</v>
          </cell>
          <cell r="V24">
            <v>0</v>
          </cell>
          <cell r="W24">
            <v>50000</v>
          </cell>
          <cell r="Y24">
            <v>125000</v>
          </cell>
          <cell r="Z24">
            <v>125000</v>
          </cell>
          <cell r="AA24">
            <v>435000</v>
          </cell>
          <cell r="AB24">
            <v>2.6</v>
          </cell>
          <cell r="AC24">
            <v>1.04</v>
          </cell>
        </row>
        <row r="25">
          <cell r="A25">
            <v>35521</v>
          </cell>
          <cell r="B25">
            <v>230000</v>
          </cell>
          <cell r="C25">
            <v>50000</v>
          </cell>
          <cell r="D25">
            <v>40000</v>
          </cell>
          <cell r="E25">
            <v>320000</v>
          </cell>
          <cell r="G25">
            <v>-30000</v>
          </cell>
          <cell r="H25">
            <v>0</v>
          </cell>
          <cell r="I25">
            <v>-30000</v>
          </cell>
          <cell r="K25">
            <v>-10000</v>
          </cell>
          <cell r="L25">
            <v>0</v>
          </cell>
          <cell r="M25">
            <v>-10000</v>
          </cell>
          <cell r="O25">
            <v>-40000</v>
          </cell>
          <cell r="Q25">
            <v>0</v>
          </cell>
          <cell r="R25">
            <v>0</v>
          </cell>
          <cell r="S25">
            <v>0</v>
          </cell>
          <cell r="U25">
            <v>0</v>
          </cell>
          <cell r="V25">
            <v>0</v>
          </cell>
          <cell r="W25">
            <v>0</v>
          </cell>
          <cell r="Y25">
            <v>0</v>
          </cell>
          <cell r="Z25">
            <v>-40000</v>
          </cell>
          <cell r="AA25">
            <v>280000</v>
          </cell>
          <cell r="AB25">
            <v>1.9</v>
          </cell>
          <cell r="AC25">
            <v>1.04</v>
          </cell>
        </row>
        <row r="26">
          <cell r="A26">
            <v>35551</v>
          </cell>
          <cell r="B26">
            <v>200000</v>
          </cell>
          <cell r="C26">
            <v>26000</v>
          </cell>
          <cell r="D26">
            <v>170000</v>
          </cell>
          <cell r="E26">
            <v>396000</v>
          </cell>
          <cell r="G26">
            <v>-135000</v>
          </cell>
          <cell r="H26">
            <v>0</v>
          </cell>
          <cell r="I26">
            <v>-135000</v>
          </cell>
          <cell r="K26">
            <v>-35000</v>
          </cell>
          <cell r="L26">
            <v>0</v>
          </cell>
          <cell r="M26">
            <v>-35000</v>
          </cell>
          <cell r="O26">
            <v>-170000</v>
          </cell>
          <cell r="Q26">
            <v>0</v>
          </cell>
          <cell r="R26">
            <v>0</v>
          </cell>
          <cell r="S26">
            <v>0</v>
          </cell>
          <cell r="U26">
            <v>0</v>
          </cell>
          <cell r="V26">
            <v>0</v>
          </cell>
          <cell r="W26">
            <v>0</v>
          </cell>
          <cell r="Y26">
            <v>0</v>
          </cell>
          <cell r="Z26">
            <v>-170000</v>
          </cell>
          <cell r="AA26">
            <v>226000</v>
          </cell>
          <cell r="AB26">
            <v>1.75</v>
          </cell>
          <cell r="AC26">
            <v>1.04</v>
          </cell>
        </row>
        <row r="27">
          <cell r="A27">
            <v>35582</v>
          </cell>
          <cell r="B27">
            <v>245000</v>
          </cell>
          <cell r="C27">
            <v>45000</v>
          </cell>
          <cell r="D27">
            <v>245000</v>
          </cell>
          <cell r="E27">
            <v>535000</v>
          </cell>
          <cell r="G27">
            <v>-200000</v>
          </cell>
          <cell r="H27">
            <v>0</v>
          </cell>
          <cell r="I27">
            <v>-200000</v>
          </cell>
          <cell r="K27">
            <v>-45000</v>
          </cell>
          <cell r="L27">
            <v>0</v>
          </cell>
          <cell r="M27">
            <v>-45000</v>
          </cell>
          <cell r="O27">
            <v>-245000</v>
          </cell>
          <cell r="Q27">
            <v>0</v>
          </cell>
          <cell r="R27">
            <v>0</v>
          </cell>
          <cell r="S27">
            <v>0</v>
          </cell>
          <cell r="U27">
            <v>0</v>
          </cell>
          <cell r="V27">
            <v>0</v>
          </cell>
          <cell r="W27">
            <v>0</v>
          </cell>
          <cell r="Y27">
            <v>0</v>
          </cell>
          <cell r="Z27">
            <v>-245000</v>
          </cell>
          <cell r="AA27">
            <v>290000</v>
          </cell>
          <cell r="AB27">
            <v>2</v>
          </cell>
          <cell r="AC27">
            <v>1.04</v>
          </cell>
        </row>
        <row r="28">
          <cell r="A28">
            <v>35612</v>
          </cell>
          <cell r="B28">
            <v>230000</v>
          </cell>
          <cell r="C28">
            <v>45000</v>
          </cell>
          <cell r="D28">
            <v>255000</v>
          </cell>
          <cell r="E28">
            <v>530000</v>
          </cell>
          <cell r="G28">
            <v>-215000</v>
          </cell>
          <cell r="H28">
            <v>0</v>
          </cell>
          <cell r="I28">
            <v>-215000</v>
          </cell>
          <cell r="K28">
            <v>-40000</v>
          </cell>
          <cell r="L28">
            <v>0</v>
          </cell>
          <cell r="M28">
            <v>-40000</v>
          </cell>
          <cell r="O28">
            <v>-255000</v>
          </cell>
          <cell r="Q28">
            <v>0</v>
          </cell>
          <cell r="R28">
            <v>0</v>
          </cell>
          <cell r="S28">
            <v>0</v>
          </cell>
          <cell r="U28">
            <v>0</v>
          </cell>
          <cell r="V28">
            <v>0</v>
          </cell>
          <cell r="W28">
            <v>0</v>
          </cell>
          <cell r="Y28">
            <v>0</v>
          </cell>
          <cell r="Z28">
            <v>-255000</v>
          </cell>
          <cell r="AA28">
            <v>275000</v>
          </cell>
          <cell r="AB28">
            <v>2.15</v>
          </cell>
          <cell r="AC28">
            <v>1.04</v>
          </cell>
        </row>
        <row r="29">
          <cell r="A29">
            <v>35643</v>
          </cell>
          <cell r="B29">
            <v>255000</v>
          </cell>
          <cell r="C29">
            <v>45000</v>
          </cell>
          <cell r="D29">
            <v>195000</v>
          </cell>
          <cell r="E29">
            <v>495000</v>
          </cell>
          <cell r="G29">
            <v>-150000</v>
          </cell>
          <cell r="H29">
            <v>0</v>
          </cell>
          <cell r="I29">
            <v>-150000</v>
          </cell>
          <cell r="K29">
            <v>-45000</v>
          </cell>
          <cell r="L29">
            <v>0</v>
          </cell>
          <cell r="M29">
            <v>-45000</v>
          </cell>
          <cell r="O29">
            <v>-195000</v>
          </cell>
          <cell r="Q29">
            <v>0</v>
          </cell>
          <cell r="R29">
            <v>0</v>
          </cell>
          <cell r="S29">
            <v>0</v>
          </cell>
          <cell r="U29">
            <v>0</v>
          </cell>
          <cell r="V29">
            <v>0</v>
          </cell>
          <cell r="W29">
            <v>0</v>
          </cell>
          <cell r="Y29">
            <v>0</v>
          </cell>
          <cell r="Z29">
            <v>-195000</v>
          </cell>
          <cell r="AA29">
            <v>300000</v>
          </cell>
          <cell r="AB29">
            <v>2.35</v>
          </cell>
          <cell r="AC29">
            <v>1.04</v>
          </cell>
        </row>
        <row r="30">
          <cell r="A30">
            <v>35674</v>
          </cell>
          <cell r="B30">
            <v>265000</v>
          </cell>
          <cell r="C30">
            <v>45000</v>
          </cell>
          <cell r="D30">
            <v>150000</v>
          </cell>
          <cell r="E30">
            <v>460000</v>
          </cell>
          <cell r="G30">
            <v>-110000</v>
          </cell>
          <cell r="H30">
            <v>0</v>
          </cell>
          <cell r="I30">
            <v>-110000</v>
          </cell>
          <cell r="K30">
            <v>-40000</v>
          </cell>
          <cell r="L30">
            <v>0</v>
          </cell>
          <cell r="M30">
            <v>-40000</v>
          </cell>
          <cell r="O30">
            <v>-150000</v>
          </cell>
          <cell r="Q30">
            <v>0</v>
          </cell>
          <cell r="R30">
            <v>0</v>
          </cell>
          <cell r="S30">
            <v>0</v>
          </cell>
          <cell r="U30">
            <v>0</v>
          </cell>
          <cell r="V30">
            <v>0</v>
          </cell>
          <cell r="W30">
            <v>0</v>
          </cell>
          <cell r="Y30">
            <v>0</v>
          </cell>
          <cell r="Z30">
            <v>-150000</v>
          </cell>
          <cell r="AA30">
            <v>310000</v>
          </cell>
          <cell r="AB30">
            <v>2.35</v>
          </cell>
          <cell r="AC30">
            <v>1.04</v>
          </cell>
        </row>
        <row r="31">
          <cell r="A31">
            <v>35704</v>
          </cell>
          <cell r="B31">
            <v>225000</v>
          </cell>
          <cell r="C31">
            <v>40000</v>
          </cell>
          <cell r="D31">
            <v>96500</v>
          </cell>
          <cell r="E31">
            <v>361500</v>
          </cell>
          <cell r="G31">
            <v>-90000</v>
          </cell>
          <cell r="H31">
            <v>0</v>
          </cell>
          <cell r="I31">
            <v>-90000</v>
          </cell>
          <cell r="K31">
            <v>-6500</v>
          </cell>
          <cell r="L31">
            <v>0</v>
          </cell>
          <cell r="M31">
            <v>-6500</v>
          </cell>
          <cell r="O31">
            <v>-96500</v>
          </cell>
          <cell r="Q31">
            <v>0</v>
          </cell>
          <cell r="R31">
            <v>0</v>
          </cell>
          <cell r="S31">
            <v>0</v>
          </cell>
          <cell r="U31">
            <v>0</v>
          </cell>
          <cell r="V31">
            <v>0</v>
          </cell>
          <cell r="W31">
            <v>0</v>
          </cell>
          <cell r="Y31">
            <v>0</v>
          </cell>
          <cell r="Z31">
            <v>-96500</v>
          </cell>
          <cell r="AA31">
            <v>265000</v>
          </cell>
          <cell r="AB31">
            <v>2.5499999999999998</v>
          </cell>
          <cell r="AC31">
            <v>1.04</v>
          </cell>
        </row>
        <row r="32">
          <cell r="A32">
            <v>35735</v>
          </cell>
          <cell r="B32">
            <v>235000</v>
          </cell>
          <cell r="C32">
            <v>45000</v>
          </cell>
          <cell r="D32">
            <v>0</v>
          </cell>
          <cell r="E32">
            <v>280000</v>
          </cell>
          <cell r="G32">
            <v>0</v>
          </cell>
          <cell r="H32">
            <v>0</v>
          </cell>
          <cell r="I32">
            <v>0</v>
          </cell>
          <cell r="K32">
            <v>0</v>
          </cell>
          <cell r="L32">
            <v>0</v>
          </cell>
          <cell r="M32">
            <v>0</v>
          </cell>
          <cell r="O32">
            <v>0</v>
          </cell>
          <cell r="Q32">
            <v>20000</v>
          </cell>
          <cell r="R32">
            <v>0</v>
          </cell>
          <cell r="S32">
            <v>20000</v>
          </cell>
          <cell r="U32">
            <v>10000</v>
          </cell>
          <cell r="V32">
            <v>0</v>
          </cell>
          <cell r="W32">
            <v>10000</v>
          </cell>
          <cell r="Y32">
            <v>30000</v>
          </cell>
          <cell r="Z32">
            <v>30000</v>
          </cell>
          <cell r="AA32">
            <v>310000</v>
          </cell>
          <cell r="AB32">
            <v>3.65</v>
          </cell>
          <cell r="AC32">
            <v>1.04</v>
          </cell>
        </row>
        <row r="33">
          <cell r="A33">
            <v>35765</v>
          </cell>
          <cell r="B33">
            <v>300000</v>
          </cell>
          <cell r="C33">
            <v>35000</v>
          </cell>
          <cell r="D33">
            <v>0</v>
          </cell>
          <cell r="E33">
            <v>335000</v>
          </cell>
          <cell r="G33">
            <v>0</v>
          </cell>
          <cell r="H33">
            <v>0</v>
          </cell>
          <cell r="I33">
            <v>0</v>
          </cell>
          <cell r="K33">
            <v>0</v>
          </cell>
          <cell r="L33">
            <v>0</v>
          </cell>
          <cell r="M33">
            <v>0</v>
          </cell>
          <cell r="O33">
            <v>0</v>
          </cell>
          <cell r="Q33">
            <v>150000</v>
          </cell>
          <cell r="R33">
            <v>0</v>
          </cell>
          <cell r="S33">
            <v>150000</v>
          </cell>
          <cell r="U33">
            <v>55000</v>
          </cell>
          <cell r="V33">
            <v>0</v>
          </cell>
          <cell r="W33">
            <v>55000</v>
          </cell>
          <cell r="Y33">
            <v>205000</v>
          </cell>
          <cell r="Z33">
            <v>205000</v>
          </cell>
          <cell r="AA33">
            <v>540000</v>
          </cell>
          <cell r="AB33">
            <v>3.98</v>
          </cell>
          <cell r="AC33">
            <v>1.04</v>
          </cell>
        </row>
        <row r="34">
          <cell r="A34">
            <v>35796</v>
          </cell>
          <cell r="B34">
            <v>353000</v>
          </cell>
          <cell r="C34">
            <v>49000</v>
          </cell>
          <cell r="D34">
            <v>0</v>
          </cell>
          <cell r="E34">
            <v>402000</v>
          </cell>
          <cell r="G34">
            <v>0</v>
          </cell>
          <cell r="H34">
            <v>0</v>
          </cell>
          <cell r="I34">
            <v>0</v>
          </cell>
          <cell r="K34">
            <v>0</v>
          </cell>
          <cell r="L34">
            <v>0</v>
          </cell>
          <cell r="M34">
            <v>0</v>
          </cell>
          <cell r="O34">
            <v>0</v>
          </cell>
          <cell r="Q34">
            <v>262000</v>
          </cell>
          <cell r="R34">
            <v>0</v>
          </cell>
          <cell r="S34">
            <v>262000</v>
          </cell>
          <cell r="U34">
            <v>76000</v>
          </cell>
          <cell r="V34">
            <v>0</v>
          </cell>
          <cell r="W34">
            <v>76000</v>
          </cell>
          <cell r="Y34">
            <v>338000</v>
          </cell>
          <cell r="Z34">
            <v>338000</v>
          </cell>
          <cell r="AA34">
            <v>740000</v>
          </cell>
          <cell r="AB34">
            <v>3.48</v>
          </cell>
          <cell r="AC34">
            <v>1.04</v>
          </cell>
        </row>
        <row r="35">
          <cell r="A35">
            <v>35827</v>
          </cell>
          <cell r="B35">
            <v>615341</v>
          </cell>
          <cell r="C35">
            <v>99637</v>
          </cell>
          <cell r="D35">
            <v>0</v>
          </cell>
          <cell r="E35">
            <v>714978</v>
          </cell>
          <cell r="G35">
            <v>0</v>
          </cell>
          <cell r="H35">
            <v>0</v>
          </cell>
          <cell r="I35">
            <v>0</v>
          </cell>
          <cell r="K35">
            <v>0</v>
          </cell>
          <cell r="L35">
            <v>0</v>
          </cell>
          <cell r="M35">
            <v>0</v>
          </cell>
          <cell r="O35">
            <v>0</v>
          </cell>
          <cell r="Q35">
            <v>193750</v>
          </cell>
          <cell r="R35">
            <v>0</v>
          </cell>
          <cell r="S35">
            <v>193750</v>
          </cell>
          <cell r="U35">
            <v>56250</v>
          </cell>
          <cell r="V35">
            <v>0</v>
          </cell>
          <cell r="W35">
            <v>56250</v>
          </cell>
          <cell r="Y35">
            <v>250000</v>
          </cell>
          <cell r="Z35">
            <v>250000</v>
          </cell>
          <cell r="AA35">
            <v>964978</v>
          </cell>
          <cell r="AB35">
            <v>2.5</v>
          </cell>
          <cell r="AC35">
            <v>1.04</v>
          </cell>
        </row>
        <row r="36">
          <cell r="A36">
            <v>35855</v>
          </cell>
          <cell r="B36">
            <v>532617</v>
          </cell>
          <cell r="C36">
            <v>78158</v>
          </cell>
          <cell r="D36">
            <v>0</v>
          </cell>
          <cell r="E36">
            <v>610775</v>
          </cell>
          <cell r="G36">
            <v>0</v>
          </cell>
          <cell r="H36">
            <v>0</v>
          </cell>
          <cell r="I36">
            <v>0</v>
          </cell>
          <cell r="K36">
            <v>0</v>
          </cell>
          <cell r="L36">
            <v>0</v>
          </cell>
          <cell r="M36">
            <v>0</v>
          </cell>
          <cell r="O36">
            <v>0</v>
          </cell>
          <cell r="Q36">
            <v>116250</v>
          </cell>
          <cell r="R36">
            <v>0</v>
          </cell>
          <cell r="S36">
            <v>116250</v>
          </cell>
          <cell r="U36">
            <v>33750</v>
          </cell>
          <cell r="V36">
            <v>0</v>
          </cell>
          <cell r="W36">
            <v>33750</v>
          </cell>
          <cell r="Y36">
            <v>150000</v>
          </cell>
          <cell r="Z36">
            <v>150000</v>
          </cell>
          <cell r="AA36">
            <v>760775</v>
          </cell>
          <cell r="AB36">
            <v>2.23</v>
          </cell>
          <cell r="AC36">
            <v>1.04</v>
          </cell>
        </row>
        <row r="37">
          <cell r="A37">
            <v>35886</v>
          </cell>
          <cell r="B37">
            <v>326274</v>
          </cell>
          <cell r="C37">
            <v>38318</v>
          </cell>
          <cell r="D37">
            <v>130000</v>
          </cell>
          <cell r="E37">
            <v>494592</v>
          </cell>
          <cell r="G37">
            <v>-100750</v>
          </cell>
          <cell r="H37">
            <v>0</v>
          </cell>
          <cell r="I37">
            <v>-100750</v>
          </cell>
          <cell r="K37">
            <v>-29250</v>
          </cell>
          <cell r="L37">
            <v>0</v>
          </cell>
          <cell r="M37">
            <v>-29250</v>
          </cell>
          <cell r="O37">
            <v>-130000</v>
          </cell>
          <cell r="Q37">
            <v>0</v>
          </cell>
          <cell r="R37">
            <v>0</v>
          </cell>
          <cell r="S37">
            <v>0</v>
          </cell>
          <cell r="U37">
            <v>0</v>
          </cell>
          <cell r="V37">
            <v>0</v>
          </cell>
          <cell r="W37">
            <v>0</v>
          </cell>
          <cell r="Y37">
            <v>0</v>
          </cell>
          <cell r="Z37">
            <v>-130000</v>
          </cell>
          <cell r="AA37">
            <v>364592</v>
          </cell>
          <cell r="AB37">
            <v>2.2599999999999998</v>
          </cell>
          <cell r="AC37">
            <v>1.04</v>
          </cell>
        </row>
        <row r="38">
          <cell r="A38">
            <v>35916</v>
          </cell>
          <cell r="B38">
            <v>74907</v>
          </cell>
          <cell r="C38">
            <v>17003</v>
          </cell>
          <cell r="D38">
            <v>134323</v>
          </cell>
          <cell r="E38">
            <v>226233</v>
          </cell>
          <cell r="G38">
            <v>-119257</v>
          </cell>
          <cell r="H38">
            <v>0</v>
          </cell>
          <cell r="I38">
            <v>-119257</v>
          </cell>
          <cell r="K38">
            <v>-15066</v>
          </cell>
          <cell r="L38">
            <v>0</v>
          </cell>
          <cell r="M38">
            <v>-15066</v>
          </cell>
          <cell r="O38">
            <v>-134323</v>
          </cell>
          <cell r="Q38">
            <v>0</v>
          </cell>
          <cell r="R38">
            <v>0</v>
          </cell>
          <cell r="S38">
            <v>0</v>
          </cell>
          <cell r="U38">
            <v>0</v>
          </cell>
          <cell r="V38">
            <v>0</v>
          </cell>
          <cell r="W38">
            <v>0</v>
          </cell>
          <cell r="Y38">
            <v>0</v>
          </cell>
          <cell r="Z38">
            <v>-134323</v>
          </cell>
          <cell r="AA38">
            <v>91910</v>
          </cell>
          <cell r="AB38">
            <v>2.41</v>
          </cell>
          <cell r="AC38">
            <v>1.04</v>
          </cell>
        </row>
        <row r="39">
          <cell r="A39">
            <v>35947</v>
          </cell>
          <cell r="B39">
            <v>67363</v>
          </cell>
          <cell r="C39">
            <v>15291</v>
          </cell>
          <cell r="D39">
            <v>129990</v>
          </cell>
          <cell r="E39">
            <v>212644</v>
          </cell>
          <cell r="G39">
            <v>-106020</v>
          </cell>
          <cell r="H39">
            <v>0</v>
          </cell>
          <cell r="I39">
            <v>-106020</v>
          </cell>
          <cell r="K39">
            <v>-23970</v>
          </cell>
          <cell r="L39">
            <v>0</v>
          </cell>
          <cell r="M39">
            <v>-23970</v>
          </cell>
          <cell r="O39">
            <v>-129990</v>
          </cell>
          <cell r="Q39">
            <v>0</v>
          </cell>
          <cell r="R39">
            <v>0</v>
          </cell>
          <cell r="S39">
            <v>0</v>
          </cell>
          <cell r="U39">
            <v>0</v>
          </cell>
          <cell r="V39">
            <v>0</v>
          </cell>
          <cell r="W39">
            <v>0</v>
          </cell>
          <cell r="Y39">
            <v>0</v>
          </cell>
          <cell r="Z39">
            <v>-129990</v>
          </cell>
          <cell r="AA39">
            <v>82654</v>
          </cell>
          <cell r="AB39">
            <v>2.4</v>
          </cell>
          <cell r="AC39">
            <v>1.04</v>
          </cell>
        </row>
        <row r="40">
          <cell r="A40">
            <v>35977</v>
          </cell>
          <cell r="B40">
            <v>5665</v>
          </cell>
          <cell r="C40">
            <v>1286</v>
          </cell>
          <cell r="D40">
            <v>216850</v>
          </cell>
          <cell r="E40">
            <v>223801</v>
          </cell>
          <cell r="G40">
            <v>-168059</v>
          </cell>
          <cell r="H40">
            <v>0</v>
          </cell>
          <cell r="I40">
            <v>-168059</v>
          </cell>
          <cell r="K40">
            <v>-48791</v>
          </cell>
          <cell r="L40">
            <v>0</v>
          </cell>
          <cell r="M40">
            <v>-48791</v>
          </cell>
          <cell r="O40">
            <v>-216850</v>
          </cell>
          <cell r="Q40">
            <v>0</v>
          </cell>
          <cell r="R40">
            <v>0</v>
          </cell>
          <cell r="S40">
            <v>0</v>
          </cell>
          <cell r="U40">
            <v>0</v>
          </cell>
          <cell r="V40">
            <v>0</v>
          </cell>
          <cell r="W40">
            <v>0</v>
          </cell>
          <cell r="Y40">
            <v>0</v>
          </cell>
          <cell r="Z40">
            <v>-216850</v>
          </cell>
          <cell r="AA40">
            <v>6951</v>
          </cell>
          <cell r="AB40">
            <v>2.2999999999999998</v>
          </cell>
          <cell r="AC40">
            <v>1.04</v>
          </cell>
        </row>
        <row r="41">
          <cell r="A41">
            <v>36008</v>
          </cell>
          <cell r="B41">
            <v>28198</v>
          </cell>
          <cell r="C41">
            <v>6401</v>
          </cell>
          <cell r="D41">
            <v>172600</v>
          </cell>
          <cell r="E41">
            <v>207199</v>
          </cell>
          <cell r="G41">
            <v>-133765</v>
          </cell>
          <cell r="H41">
            <v>0</v>
          </cell>
          <cell r="I41">
            <v>-133765</v>
          </cell>
          <cell r="K41">
            <v>-38835</v>
          </cell>
          <cell r="L41">
            <v>0</v>
          </cell>
          <cell r="M41">
            <v>-38835</v>
          </cell>
          <cell r="O41">
            <v>-172600</v>
          </cell>
          <cell r="Q41">
            <v>0</v>
          </cell>
          <cell r="R41">
            <v>0</v>
          </cell>
          <cell r="S41">
            <v>0</v>
          </cell>
          <cell r="U41">
            <v>0</v>
          </cell>
          <cell r="V41">
            <v>0</v>
          </cell>
          <cell r="W41">
            <v>0</v>
          </cell>
          <cell r="Y41">
            <v>0</v>
          </cell>
          <cell r="Z41">
            <v>-172600</v>
          </cell>
          <cell r="AA41">
            <v>34599</v>
          </cell>
          <cell r="AB41">
            <v>2.4500000000000002</v>
          </cell>
          <cell r="AC41">
            <v>1.04</v>
          </cell>
        </row>
        <row r="42">
          <cell r="A42">
            <v>36039</v>
          </cell>
          <cell r="B42">
            <v>72864</v>
          </cell>
          <cell r="C42">
            <v>16540</v>
          </cell>
          <cell r="D42">
            <v>120150</v>
          </cell>
          <cell r="E42">
            <v>209554</v>
          </cell>
          <cell r="G42">
            <v>-93116</v>
          </cell>
          <cell r="H42">
            <v>0</v>
          </cell>
          <cell r="I42">
            <v>-93116</v>
          </cell>
          <cell r="K42">
            <v>-27034</v>
          </cell>
          <cell r="L42">
            <v>0</v>
          </cell>
          <cell r="M42">
            <v>-27034</v>
          </cell>
          <cell r="O42">
            <v>-120150</v>
          </cell>
          <cell r="Q42">
            <v>0</v>
          </cell>
          <cell r="R42">
            <v>0</v>
          </cell>
          <cell r="S42">
            <v>0</v>
          </cell>
          <cell r="U42">
            <v>0</v>
          </cell>
          <cell r="V42">
            <v>0</v>
          </cell>
          <cell r="W42">
            <v>0</v>
          </cell>
          <cell r="Y42">
            <v>0</v>
          </cell>
          <cell r="Z42">
            <v>-120150</v>
          </cell>
          <cell r="AA42">
            <v>89404</v>
          </cell>
          <cell r="AB42">
            <v>2.15</v>
          </cell>
          <cell r="AC42">
            <v>1.04</v>
          </cell>
        </row>
        <row r="43">
          <cell r="A43">
            <v>36069</v>
          </cell>
          <cell r="B43">
            <v>188430</v>
          </cell>
          <cell r="C43">
            <v>42772</v>
          </cell>
          <cell r="D43">
            <v>98000</v>
          </cell>
          <cell r="E43">
            <v>329202</v>
          </cell>
          <cell r="G43">
            <v>-75950</v>
          </cell>
          <cell r="H43">
            <v>0</v>
          </cell>
          <cell r="I43">
            <v>-75950</v>
          </cell>
          <cell r="K43">
            <v>-22050</v>
          </cell>
          <cell r="L43">
            <v>0</v>
          </cell>
          <cell r="M43">
            <v>-22050</v>
          </cell>
          <cell r="O43">
            <v>-98000</v>
          </cell>
          <cell r="Q43">
            <v>0</v>
          </cell>
          <cell r="R43">
            <v>0</v>
          </cell>
          <cell r="S43">
            <v>0</v>
          </cell>
          <cell r="U43">
            <v>0</v>
          </cell>
          <cell r="V43">
            <v>0</v>
          </cell>
          <cell r="W43">
            <v>0</v>
          </cell>
          <cell r="Y43">
            <v>0</v>
          </cell>
          <cell r="Z43">
            <v>-98000</v>
          </cell>
          <cell r="AA43">
            <v>231202</v>
          </cell>
          <cell r="AB43">
            <v>2.15</v>
          </cell>
          <cell r="AC43">
            <v>1.04</v>
          </cell>
        </row>
        <row r="44">
          <cell r="A44">
            <v>36100</v>
          </cell>
          <cell r="B44">
            <v>369849</v>
          </cell>
          <cell r="C44">
            <v>83954</v>
          </cell>
          <cell r="D44">
            <v>-150000</v>
          </cell>
          <cell r="E44">
            <v>303803</v>
          </cell>
          <cell r="G44">
            <v>0</v>
          </cell>
          <cell r="H44">
            <v>0</v>
          </cell>
          <cell r="I44">
            <v>0</v>
          </cell>
          <cell r="K44">
            <v>0</v>
          </cell>
          <cell r="L44">
            <v>0</v>
          </cell>
          <cell r="M44">
            <v>0</v>
          </cell>
          <cell r="O44">
            <v>0</v>
          </cell>
          <cell r="Q44">
            <v>116250</v>
          </cell>
          <cell r="R44">
            <v>0</v>
          </cell>
          <cell r="S44">
            <v>116250</v>
          </cell>
          <cell r="U44">
            <v>33750</v>
          </cell>
          <cell r="V44">
            <v>0</v>
          </cell>
          <cell r="W44">
            <v>33750</v>
          </cell>
          <cell r="Y44">
            <v>150000</v>
          </cell>
          <cell r="Z44">
            <v>150000</v>
          </cell>
          <cell r="AA44">
            <v>453803</v>
          </cell>
          <cell r="AB44">
            <v>2.5099999999999998</v>
          </cell>
          <cell r="AC44">
            <v>1.04</v>
          </cell>
        </row>
        <row r="45">
          <cell r="A45">
            <v>36130</v>
          </cell>
          <cell r="B45">
            <v>496359</v>
          </cell>
          <cell r="C45">
            <v>112670</v>
          </cell>
          <cell r="D45">
            <v>-300000</v>
          </cell>
          <cell r="E45">
            <v>309029</v>
          </cell>
          <cell r="G45">
            <v>0</v>
          </cell>
          <cell r="H45">
            <v>0</v>
          </cell>
          <cell r="I45">
            <v>0</v>
          </cell>
          <cell r="K45">
            <v>0</v>
          </cell>
          <cell r="L45">
            <v>0</v>
          </cell>
          <cell r="M45">
            <v>0</v>
          </cell>
          <cell r="O45">
            <v>0</v>
          </cell>
          <cell r="Q45">
            <v>232500</v>
          </cell>
          <cell r="R45">
            <v>0</v>
          </cell>
          <cell r="S45">
            <v>232500</v>
          </cell>
          <cell r="U45">
            <v>67500</v>
          </cell>
          <cell r="V45">
            <v>0</v>
          </cell>
          <cell r="W45">
            <v>67500</v>
          </cell>
          <cell r="Y45">
            <v>300000</v>
          </cell>
          <cell r="Z45">
            <v>300000</v>
          </cell>
          <cell r="AA45">
            <v>609029</v>
          </cell>
          <cell r="AB45">
            <v>2.37</v>
          </cell>
          <cell r="AC45">
            <v>1.04</v>
          </cell>
        </row>
        <row r="46">
          <cell r="A46">
            <v>36161</v>
          </cell>
          <cell r="B46">
            <v>593925</v>
          </cell>
          <cell r="C46">
            <v>134817</v>
          </cell>
          <cell r="D46">
            <v>-350000</v>
          </cell>
          <cell r="E46">
            <v>378742</v>
          </cell>
          <cell r="G46">
            <v>0</v>
          </cell>
          <cell r="H46">
            <v>0</v>
          </cell>
          <cell r="I46">
            <v>0</v>
          </cell>
          <cell r="K46">
            <v>0</v>
          </cell>
          <cell r="L46">
            <v>0</v>
          </cell>
          <cell r="M46">
            <v>0</v>
          </cell>
          <cell r="O46">
            <v>0</v>
          </cell>
          <cell r="Q46">
            <v>271250</v>
          </cell>
          <cell r="R46">
            <v>0</v>
          </cell>
          <cell r="S46">
            <v>271250</v>
          </cell>
          <cell r="U46">
            <v>78750</v>
          </cell>
          <cell r="V46">
            <v>0</v>
          </cell>
          <cell r="W46">
            <v>78750</v>
          </cell>
          <cell r="Y46">
            <v>350000</v>
          </cell>
          <cell r="Z46">
            <v>350000</v>
          </cell>
          <cell r="AA46">
            <v>728742</v>
          </cell>
          <cell r="AB46">
            <v>2.25</v>
          </cell>
          <cell r="AC46">
            <v>1.04</v>
          </cell>
        </row>
        <row r="47">
          <cell r="A47">
            <v>36192</v>
          </cell>
          <cell r="B47">
            <v>469686</v>
          </cell>
          <cell r="C47">
            <v>106616</v>
          </cell>
          <cell r="D47">
            <v>-300000</v>
          </cell>
          <cell r="E47">
            <v>276302</v>
          </cell>
          <cell r="G47">
            <v>0</v>
          </cell>
          <cell r="H47">
            <v>0</v>
          </cell>
          <cell r="I47">
            <v>0</v>
          </cell>
          <cell r="K47">
            <v>0</v>
          </cell>
          <cell r="L47">
            <v>0</v>
          </cell>
          <cell r="M47">
            <v>0</v>
          </cell>
          <cell r="O47">
            <v>0</v>
          </cell>
          <cell r="Q47">
            <v>232500</v>
          </cell>
          <cell r="R47">
            <v>0</v>
          </cell>
          <cell r="S47">
            <v>232500</v>
          </cell>
          <cell r="U47">
            <v>67500</v>
          </cell>
          <cell r="V47">
            <v>0</v>
          </cell>
          <cell r="W47">
            <v>67500</v>
          </cell>
          <cell r="Y47">
            <v>300000</v>
          </cell>
          <cell r="Z47">
            <v>300000</v>
          </cell>
          <cell r="AA47">
            <v>576302</v>
          </cell>
          <cell r="AB47">
            <v>1.81</v>
          </cell>
          <cell r="AC47">
            <v>1.04</v>
          </cell>
        </row>
        <row r="48">
          <cell r="A48">
            <v>36220</v>
          </cell>
          <cell r="B48">
            <v>384217</v>
          </cell>
          <cell r="C48">
            <v>87215</v>
          </cell>
          <cell r="D48">
            <v>-138000</v>
          </cell>
          <cell r="E48">
            <v>333432</v>
          </cell>
          <cell r="G48">
            <v>0</v>
          </cell>
          <cell r="H48">
            <v>0</v>
          </cell>
          <cell r="I48">
            <v>0</v>
          </cell>
          <cell r="K48">
            <v>0</v>
          </cell>
          <cell r="L48">
            <v>0</v>
          </cell>
          <cell r="M48">
            <v>0</v>
          </cell>
          <cell r="O48">
            <v>0</v>
          </cell>
          <cell r="Q48">
            <v>106950</v>
          </cell>
          <cell r="R48">
            <v>0</v>
          </cell>
          <cell r="S48">
            <v>106950</v>
          </cell>
          <cell r="U48">
            <v>31050</v>
          </cell>
          <cell r="V48">
            <v>0</v>
          </cell>
          <cell r="W48">
            <v>31050</v>
          </cell>
          <cell r="Y48">
            <v>138000</v>
          </cell>
          <cell r="Z48">
            <v>138000</v>
          </cell>
          <cell r="AA48">
            <v>471432</v>
          </cell>
          <cell r="AB48">
            <v>1.77</v>
          </cell>
          <cell r="AC48">
            <v>1.04</v>
          </cell>
        </row>
        <row r="49">
          <cell r="A49">
            <v>36251</v>
          </cell>
          <cell r="B49">
            <v>209378</v>
          </cell>
          <cell r="C49">
            <v>47528</v>
          </cell>
          <cell r="D49">
            <v>130000</v>
          </cell>
          <cell r="E49">
            <v>386906</v>
          </cell>
          <cell r="G49">
            <v>-100750</v>
          </cell>
          <cell r="H49">
            <v>0</v>
          </cell>
          <cell r="I49">
            <v>-100750</v>
          </cell>
          <cell r="K49">
            <v>-29250</v>
          </cell>
          <cell r="L49">
            <v>0</v>
          </cell>
          <cell r="M49">
            <v>-29250</v>
          </cell>
          <cell r="O49">
            <v>-130000</v>
          </cell>
          <cell r="Q49">
            <v>0</v>
          </cell>
          <cell r="R49">
            <v>0</v>
          </cell>
          <cell r="S49">
            <v>0</v>
          </cell>
          <cell r="U49">
            <v>0</v>
          </cell>
          <cell r="V49">
            <v>0</v>
          </cell>
          <cell r="W49">
            <v>0</v>
          </cell>
          <cell r="Y49">
            <v>0</v>
          </cell>
          <cell r="Z49">
            <v>-130000</v>
          </cell>
          <cell r="AA49">
            <v>256906</v>
          </cell>
          <cell r="AB49">
            <v>1.75</v>
          </cell>
          <cell r="AC49">
            <v>1.04</v>
          </cell>
        </row>
        <row r="50">
          <cell r="A50">
            <v>36281</v>
          </cell>
          <cell r="B50">
            <v>111137</v>
          </cell>
          <cell r="C50">
            <v>25227</v>
          </cell>
          <cell r="D50">
            <v>173000</v>
          </cell>
          <cell r="E50">
            <v>309364</v>
          </cell>
          <cell r="G50">
            <v>-134075</v>
          </cell>
          <cell r="H50">
            <v>0</v>
          </cell>
          <cell r="I50">
            <v>-134075</v>
          </cell>
          <cell r="K50">
            <v>-38925</v>
          </cell>
          <cell r="L50">
            <v>0</v>
          </cell>
          <cell r="M50">
            <v>-38925</v>
          </cell>
          <cell r="O50">
            <v>-173000</v>
          </cell>
          <cell r="Q50">
            <v>0</v>
          </cell>
          <cell r="R50">
            <v>0</v>
          </cell>
          <cell r="S50">
            <v>0</v>
          </cell>
          <cell r="U50">
            <v>0</v>
          </cell>
          <cell r="V50">
            <v>0</v>
          </cell>
          <cell r="W50">
            <v>0</v>
          </cell>
          <cell r="Y50">
            <v>0</v>
          </cell>
          <cell r="Z50">
            <v>-173000</v>
          </cell>
          <cell r="AA50">
            <v>136364</v>
          </cell>
          <cell r="AB50">
            <v>1.66</v>
          </cell>
          <cell r="AC50">
            <v>1.04</v>
          </cell>
        </row>
        <row r="51">
          <cell r="A51">
            <v>36312</v>
          </cell>
          <cell r="B51">
            <v>77216</v>
          </cell>
          <cell r="C51">
            <v>17527</v>
          </cell>
          <cell r="D51">
            <v>246000</v>
          </cell>
          <cell r="E51">
            <v>340743</v>
          </cell>
          <cell r="G51">
            <v>-190650</v>
          </cell>
          <cell r="H51">
            <v>0</v>
          </cell>
          <cell r="I51">
            <v>-190650</v>
          </cell>
          <cell r="K51">
            <v>-55350</v>
          </cell>
          <cell r="L51">
            <v>0</v>
          </cell>
          <cell r="M51">
            <v>-55350</v>
          </cell>
          <cell r="O51">
            <v>-246000</v>
          </cell>
          <cell r="Q51">
            <v>0</v>
          </cell>
          <cell r="R51">
            <v>0</v>
          </cell>
          <cell r="S51">
            <v>0</v>
          </cell>
          <cell r="U51">
            <v>0</v>
          </cell>
          <cell r="V51">
            <v>0</v>
          </cell>
          <cell r="W51">
            <v>0</v>
          </cell>
          <cell r="Y51">
            <v>0</v>
          </cell>
          <cell r="Z51">
            <v>-246000</v>
          </cell>
          <cell r="AA51">
            <v>94743</v>
          </cell>
          <cell r="AB51">
            <v>2.0499999999999998</v>
          </cell>
          <cell r="AC51">
            <v>1.04</v>
          </cell>
        </row>
        <row r="52">
          <cell r="A52">
            <v>36342</v>
          </cell>
          <cell r="B52">
            <v>79460</v>
          </cell>
          <cell r="C52">
            <v>18037</v>
          </cell>
          <cell r="D52">
            <v>246000</v>
          </cell>
          <cell r="E52">
            <v>343497</v>
          </cell>
          <cell r="G52">
            <v>-190650</v>
          </cell>
          <cell r="H52">
            <v>0</v>
          </cell>
          <cell r="I52">
            <v>-190650</v>
          </cell>
          <cell r="K52">
            <v>-55350</v>
          </cell>
          <cell r="L52">
            <v>0</v>
          </cell>
          <cell r="M52">
            <v>-55350</v>
          </cell>
          <cell r="O52">
            <v>-246000</v>
          </cell>
          <cell r="Q52">
            <v>0</v>
          </cell>
          <cell r="R52">
            <v>0</v>
          </cell>
          <cell r="S52">
            <v>0</v>
          </cell>
          <cell r="U52">
            <v>0</v>
          </cell>
          <cell r="V52">
            <v>0</v>
          </cell>
          <cell r="W52">
            <v>0</v>
          </cell>
          <cell r="Y52">
            <v>0</v>
          </cell>
          <cell r="Z52">
            <v>-246000</v>
          </cell>
          <cell r="AA52">
            <v>97497</v>
          </cell>
          <cell r="AB52">
            <v>2.34</v>
          </cell>
          <cell r="AC52">
            <v>1.04</v>
          </cell>
        </row>
        <row r="53">
          <cell r="A53">
            <v>36373</v>
          </cell>
          <cell r="B53">
            <v>69256</v>
          </cell>
          <cell r="C53">
            <v>15721</v>
          </cell>
          <cell r="D53">
            <v>166000</v>
          </cell>
          <cell r="E53">
            <v>250977</v>
          </cell>
          <cell r="G53">
            <v>-128650</v>
          </cell>
          <cell r="H53">
            <v>0</v>
          </cell>
          <cell r="I53">
            <v>-128650</v>
          </cell>
          <cell r="K53">
            <v>-37350</v>
          </cell>
          <cell r="L53">
            <v>0</v>
          </cell>
          <cell r="M53">
            <v>-37350</v>
          </cell>
          <cell r="O53">
            <v>-166000</v>
          </cell>
          <cell r="Q53">
            <v>0</v>
          </cell>
          <cell r="R53">
            <v>0</v>
          </cell>
          <cell r="S53">
            <v>0</v>
          </cell>
          <cell r="U53">
            <v>0</v>
          </cell>
          <cell r="V53">
            <v>0</v>
          </cell>
          <cell r="W53">
            <v>0</v>
          </cell>
          <cell r="Y53">
            <v>0</v>
          </cell>
          <cell r="Z53">
            <v>-166000</v>
          </cell>
          <cell r="AA53">
            <v>84977</v>
          </cell>
          <cell r="AB53">
            <v>2.1500000000000004</v>
          </cell>
          <cell r="AC53">
            <v>1.04</v>
          </cell>
        </row>
        <row r="54">
          <cell r="A54">
            <v>36404</v>
          </cell>
          <cell r="B54">
            <v>52543</v>
          </cell>
          <cell r="C54">
            <v>11927</v>
          </cell>
          <cell r="D54">
            <v>123000</v>
          </cell>
          <cell r="E54">
            <v>187470</v>
          </cell>
          <cell r="G54">
            <v>-95325</v>
          </cell>
          <cell r="H54">
            <v>0</v>
          </cell>
          <cell r="I54">
            <v>-95325</v>
          </cell>
          <cell r="K54">
            <v>-27675</v>
          </cell>
          <cell r="L54">
            <v>0</v>
          </cell>
          <cell r="M54">
            <v>-27675</v>
          </cell>
          <cell r="O54">
            <v>-123000</v>
          </cell>
          <cell r="Q54">
            <v>0</v>
          </cell>
          <cell r="R54">
            <v>0</v>
          </cell>
          <cell r="S54">
            <v>0</v>
          </cell>
          <cell r="U54">
            <v>0</v>
          </cell>
          <cell r="V54">
            <v>0</v>
          </cell>
          <cell r="W54">
            <v>0</v>
          </cell>
          <cell r="Y54">
            <v>0</v>
          </cell>
          <cell r="Z54">
            <v>-123000</v>
          </cell>
          <cell r="AA54">
            <v>64470</v>
          </cell>
          <cell r="AB54">
            <v>2.1500000000000004</v>
          </cell>
          <cell r="AC54">
            <v>1.04</v>
          </cell>
        </row>
        <row r="55">
          <cell r="A55">
            <v>36434</v>
          </cell>
          <cell r="B55">
            <v>171626</v>
          </cell>
          <cell r="C55">
            <v>38958</v>
          </cell>
          <cell r="D55">
            <v>98000</v>
          </cell>
          <cell r="E55">
            <v>308584</v>
          </cell>
          <cell r="G55">
            <v>-75950</v>
          </cell>
          <cell r="H55">
            <v>0</v>
          </cell>
          <cell r="I55">
            <v>-75950</v>
          </cell>
          <cell r="K55">
            <v>-22050</v>
          </cell>
          <cell r="L55">
            <v>0</v>
          </cell>
          <cell r="M55">
            <v>-22050</v>
          </cell>
          <cell r="O55">
            <v>-98000</v>
          </cell>
          <cell r="Q55">
            <v>0</v>
          </cell>
          <cell r="R55">
            <v>0</v>
          </cell>
          <cell r="S55">
            <v>0</v>
          </cell>
          <cell r="U55">
            <v>0</v>
          </cell>
          <cell r="V55">
            <v>0</v>
          </cell>
          <cell r="W55">
            <v>0</v>
          </cell>
          <cell r="Y55">
            <v>0</v>
          </cell>
          <cell r="Z55">
            <v>-98000</v>
          </cell>
          <cell r="AA55">
            <v>210584</v>
          </cell>
          <cell r="AB55">
            <v>2.4</v>
          </cell>
          <cell r="AC55">
            <v>1.04</v>
          </cell>
        </row>
        <row r="56">
          <cell r="A56">
            <v>36465</v>
          </cell>
          <cell r="B56">
            <v>382000</v>
          </cell>
          <cell r="C56">
            <v>78000</v>
          </cell>
          <cell r="D56">
            <v>-130000</v>
          </cell>
          <cell r="E56">
            <v>330000</v>
          </cell>
          <cell r="G56">
            <v>108000</v>
          </cell>
          <cell r="H56">
            <v>0</v>
          </cell>
          <cell r="I56">
            <v>108000</v>
          </cell>
          <cell r="K56">
            <v>22000</v>
          </cell>
          <cell r="L56">
            <v>0</v>
          </cell>
          <cell r="M56">
            <v>22000</v>
          </cell>
          <cell r="O56">
            <v>130000</v>
          </cell>
          <cell r="Q56">
            <v>0</v>
          </cell>
          <cell r="R56">
            <v>0</v>
          </cell>
          <cell r="S56">
            <v>0</v>
          </cell>
          <cell r="U56">
            <v>0</v>
          </cell>
          <cell r="V56">
            <v>0</v>
          </cell>
          <cell r="W56">
            <v>0</v>
          </cell>
          <cell r="Y56">
            <v>0</v>
          </cell>
          <cell r="Z56">
            <v>130000</v>
          </cell>
          <cell r="AA56">
            <v>460000</v>
          </cell>
          <cell r="AB56">
            <v>2.75</v>
          </cell>
          <cell r="AC56">
            <v>1.04</v>
          </cell>
        </row>
        <row r="57">
          <cell r="A57">
            <v>36495</v>
          </cell>
          <cell r="B57">
            <v>531200</v>
          </cell>
          <cell r="C57">
            <v>108800</v>
          </cell>
          <cell r="D57">
            <v>-300000</v>
          </cell>
          <cell r="E57">
            <v>340000</v>
          </cell>
          <cell r="G57">
            <v>249000</v>
          </cell>
          <cell r="H57">
            <v>0</v>
          </cell>
          <cell r="I57">
            <v>249000</v>
          </cell>
          <cell r="K57">
            <v>51000</v>
          </cell>
          <cell r="L57">
            <v>0</v>
          </cell>
          <cell r="M57">
            <v>51000</v>
          </cell>
          <cell r="O57">
            <v>300000</v>
          </cell>
          <cell r="Q57">
            <v>0</v>
          </cell>
          <cell r="R57">
            <v>0</v>
          </cell>
          <cell r="S57">
            <v>0</v>
          </cell>
          <cell r="U57">
            <v>0</v>
          </cell>
          <cell r="V57">
            <v>0</v>
          </cell>
          <cell r="W57">
            <v>0</v>
          </cell>
          <cell r="Y57">
            <v>0</v>
          </cell>
          <cell r="Z57">
            <v>300000</v>
          </cell>
          <cell r="AA57">
            <v>640000</v>
          </cell>
          <cell r="AB57">
            <v>2.75</v>
          </cell>
          <cell r="AC57">
            <v>1.04</v>
          </cell>
        </row>
        <row r="58">
          <cell r="A58">
            <v>36526</v>
          </cell>
          <cell r="B58">
            <v>564400</v>
          </cell>
          <cell r="C58">
            <v>115600</v>
          </cell>
          <cell r="D58">
            <v>-300000</v>
          </cell>
          <cell r="E58">
            <v>380000</v>
          </cell>
          <cell r="G58">
            <v>249000</v>
          </cell>
          <cell r="H58">
            <v>0</v>
          </cell>
          <cell r="I58">
            <v>249000</v>
          </cell>
          <cell r="K58">
            <v>51000</v>
          </cell>
          <cell r="L58">
            <v>0</v>
          </cell>
          <cell r="M58">
            <v>51000</v>
          </cell>
          <cell r="O58">
            <v>300000</v>
          </cell>
          <cell r="Q58">
            <v>0</v>
          </cell>
          <cell r="R58">
            <v>0</v>
          </cell>
          <cell r="S58">
            <v>0</v>
          </cell>
          <cell r="U58">
            <v>0</v>
          </cell>
          <cell r="V58">
            <v>0</v>
          </cell>
          <cell r="W58">
            <v>0</v>
          </cell>
          <cell r="Y58">
            <v>0</v>
          </cell>
          <cell r="Z58">
            <v>300000</v>
          </cell>
          <cell r="AA58">
            <v>680000</v>
          </cell>
          <cell r="AB58">
            <v>2.5750000000000002</v>
          </cell>
          <cell r="AC58">
            <v>1.04</v>
          </cell>
        </row>
        <row r="59">
          <cell r="A59">
            <v>36557</v>
          </cell>
          <cell r="B59">
            <v>464800</v>
          </cell>
          <cell r="C59">
            <v>95200</v>
          </cell>
          <cell r="D59">
            <v>-300000</v>
          </cell>
          <cell r="E59">
            <v>260000</v>
          </cell>
          <cell r="G59">
            <v>249000</v>
          </cell>
          <cell r="H59">
            <v>0</v>
          </cell>
          <cell r="I59">
            <v>249000</v>
          </cell>
          <cell r="K59">
            <v>51000</v>
          </cell>
          <cell r="L59">
            <v>0</v>
          </cell>
          <cell r="M59">
            <v>51000</v>
          </cell>
          <cell r="O59">
            <v>300000</v>
          </cell>
          <cell r="Q59">
            <v>0</v>
          </cell>
          <cell r="R59">
            <v>0</v>
          </cell>
          <cell r="S59">
            <v>0</v>
          </cell>
          <cell r="U59">
            <v>0</v>
          </cell>
          <cell r="V59">
            <v>0</v>
          </cell>
          <cell r="W59">
            <v>0</v>
          </cell>
          <cell r="Y59">
            <v>0</v>
          </cell>
          <cell r="Z59">
            <v>300000</v>
          </cell>
          <cell r="AA59">
            <v>560000</v>
          </cell>
          <cell r="AB59">
            <v>2.75</v>
          </cell>
          <cell r="AC59">
            <v>1.04</v>
          </cell>
        </row>
        <row r="60">
          <cell r="A60">
            <v>36586</v>
          </cell>
          <cell r="B60">
            <v>431600</v>
          </cell>
          <cell r="C60">
            <v>88400</v>
          </cell>
          <cell r="D60">
            <v>-140000</v>
          </cell>
          <cell r="E60">
            <v>380000</v>
          </cell>
          <cell r="G60">
            <v>116200</v>
          </cell>
          <cell r="H60">
            <v>0</v>
          </cell>
          <cell r="I60">
            <v>116200</v>
          </cell>
          <cell r="K60">
            <v>23800</v>
          </cell>
          <cell r="L60">
            <v>0</v>
          </cell>
          <cell r="M60">
            <v>23800</v>
          </cell>
          <cell r="O60">
            <v>140000</v>
          </cell>
          <cell r="Q60">
            <v>0</v>
          </cell>
          <cell r="R60">
            <v>0</v>
          </cell>
          <cell r="S60">
            <v>0</v>
          </cell>
          <cell r="U60">
            <v>0</v>
          </cell>
          <cell r="V60">
            <v>0</v>
          </cell>
          <cell r="W60">
            <v>0</v>
          </cell>
          <cell r="Y60">
            <v>0</v>
          </cell>
          <cell r="Z60">
            <v>140000</v>
          </cell>
          <cell r="AA60">
            <v>520000</v>
          </cell>
          <cell r="AB60">
            <v>2.75</v>
          </cell>
          <cell r="AC60">
            <v>1.04</v>
          </cell>
        </row>
        <row r="61">
          <cell r="A61">
            <v>36617</v>
          </cell>
          <cell r="B61">
            <v>407837</v>
          </cell>
          <cell r="C61">
            <v>86163</v>
          </cell>
          <cell r="D61">
            <v>-150000</v>
          </cell>
          <cell r="E61">
            <v>344000</v>
          </cell>
          <cell r="G61">
            <v>123837</v>
          </cell>
          <cell r="H61">
            <v>0</v>
          </cell>
          <cell r="I61">
            <v>123837</v>
          </cell>
          <cell r="K61">
            <v>26163</v>
          </cell>
          <cell r="L61">
            <v>0</v>
          </cell>
          <cell r="M61">
            <v>26163</v>
          </cell>
          <cell r="O61">
            <v>150000</v>
          </cell>
          <cell r="Q61">
            <v>0</v>
          </cell>
          <cell r="R61">
            <v>0</v>
          </cell>
          <cell r="S61">
            <v>0</v>
          </cell>
          <cell r="U61">
            <v>0</v>
          </cell>
          <cell r="V61">
            <v>0</v>
          </cell>
          <cell r="W61">
            <v>0</v>
          </cell>
          <cell r="Y61">
            <v>0</v>
          </cell>
          <cell r="Z61">
            <v>150000</v>
          </cell>
          <cell r="AA61">
            <v>494000</v>
          </cell>
          <cell r="AB61">
            <v>2.75</v>
          </cell>
          <cell r="AC61">
            <v>1.04</v>
          </cell>
        </row>
        <row r="62">
          <cell r="A62">
            <v>36647</v>
          </cell>
          <cell r="B62">
            <v>413901</v>
          </cell>
          <cell r="C62">
            <v>88099</v>
          </cell>
          <cell r="D62">
            <v>-200000</v>
          </cell>
          <cell r="E62">
            <v>302000</v>
          </cell>
          <cell r="G62">
            <v>164901</v>
          </cell>
          <cell r="H62">
            <v>0</v>
          </cell>
          <cell r="I62">
            <v>164901</v>
          </cell>
          <cell r="K62">
            <v>35099</v>
          </cell>
          <cell r="L62">
            <v>0</v>
          </cell>
          <cell r="M62">
            <v>35099</v>
          </cell>
          <cell r="O62">
            <v>200000</v>
          </cell>
          <cell r="Q62">
            <v>0</v>
          </cell>
          <cell r="R62">
            <v>0</v>
          </cell>
          <cell r="S62">
            <v>0</v>
          </cell>
          <cell r="U62">
            <v>0</v>
          </cell>
          <cell r="V62">
            <v>0</v>
          </cell>
          <cell r="W62">
            <v>0</v>
          </cell>
          <cell r="Y62">
            <v>0</v>
          </cell>
          <cell r="Z62">
            <v>200000</v>
          </cell>
          <cell r="AA62">
            <v>502000</v>
          </cell>
          <cell r="AB62">
            <v>2.84</v>
          </cell>
          <cell r="AC62">
            <v>1.04</v>
          </cell>
        </row>
        <row r="63">
          <cell r="A63">
            <v>36678</v>
          </cell>
          <cell r="B63">
            <v>252000</v>
          </cell>
          <cell r="C63">
            <v>51000</v>
          </cell>
          <cell r="D63">
            <v>-215000</v>
          </cell>
          <cell r="E63">
            <v>88000</v>
          </cell>
          <cell r="G63">
            <v>178815</v>
          </cell>
          <cell r="H63">
            <v>0</v>
          </cell>
          <cell r="I63">
            <v>178815</v>
          </cell>
          <cell r="K63">
            <v>36185</v>
          </cell>
          <cell r="L63">
            <v>0</v>
          </cell>
          <cell r="M63">
            <v>36185</v>
          </cell>
          <cell r="O63">
            <v>215000</v>
          </cell>
          <cell r="Q63">
            <v>0</v>
          </cell>
          <cell r="R63">
            <v>0</v>
          </cell>
          <cell r="S63">
            <v>0</v>
          </cell>
          <cell r="U63">
            <v>0</v>
          </cell>
          <cell r="V63">
            <v>0</v>
          </cell>
          <cell r="W63">
            <v>0</v>
          </cell>
          <cell r="Y63">
            <v>0</v>
          </cell>
          <cell r="Z63">
            <v>215000</v>
          </cell>
          <cell r="AA63">
            <v>303000</v>
          </cell>
          <cell r="AB63">
            <v>2.84</v>
          </cell>
          <cell r="AC63">
            <v>1.04</v>
          </cell>
        </row>
        <row r="64">
          <cell r="A64">
            <v>36708</v>
          </cell>
          <cell r="B64">
            <v>245000</v>
          </cell>
          <cell r="C64">
            <v>50000</v>
          </cell>
          <cell r="D64">
            <v>-210000</v>
          </cell>
          <cell r="E64">
            <v>85000</v>
          </cell>
          <cell r="G64">
            <v>174405</v>
          </cell>
          <cell r="H64">
            <v>0</v>
          </cell>
          <cell r="I64">
            <v>174405</v>
          </cell>
          <cell r="K64">
            <v>35595</v>
          </cell>
          <cell r="L64">
            <v>0</v>
          </cell>
          <cell r="M64">
            <v>35595</v>
          </cell>
          <cell r="O64">
            <v>210000</v>
          </cell>
          <cell r="Q64">
            <v>0</v>
          </cell>
          <cell r="R64">
            <v>0</v>
          </cell>
          <cell r="S64">
            <v>0</v>
          </cell>
          <cell r="U64">
            <v>0</v>
          </cell>
          <cell r="V64">
            <v>0</v>
          </cell>
          <cell r="W64">
            <v>0</v>
          </cell>
          <cell r="Y64">
            <v>0</v>
          </cell>
          <cell r="Z64">
            <v>210000</v>
          </cell>
          <cell r="AA64">
            <v>295000</v>
          </cell>
          <cell r="AB64">
            <v>3.27</v>
          </cell>
          <cell r="AC64">
            <v>1.04</v>
          </cell>
        </row>
        <row r="65">
          <cell r="A65">
            <v>36739</v>
          </cell>
          <cell r="B65">
            <v>252000</v>
          </cell>
          <cell r="C65">
            <v>49000</v>
          </cell>
          <cell r="D65">
            <v>200000</v>
          </cell>
          <cell r="E65">
            <v>501000</v>
          </cell>
          <cell r="G65">
            <v>0</v>
          </cell>
          <cell r="H65">
            <v>0</v>
          </cell>
          <cell r="I65">
            <v>0</v>
          </cell>
          <cell r="K65">
            <v>0</v>
          </cell>
          <cell r="L65">
            <v>0</v>
          </cell>
          <cell r="M65">
            <v>0</v>
          </cell>
          <cell r="O65">
            <v>0</v>
          </cell>
          <cell r="Q65">
            <v>-167400</v>
          </cell>
          <cell r="R65">
            <v>0</v>
          </cell>
          <cell r="S65">
            <v>-167400</v>
          </cell>
          <cell r="U65">
            <v>-32600</v>
          </cell>
          <cell r="V65">
            <v>0</v>
          </cell>
          <cell r="W65">
            <v>-32600</v>
          </cell>
          <cell r="Y65">
            <v>-200000</v>
          </cell>
          <cell r="Z65">
            <v>-200000</v>
          </cell>
          <cell r="AA65">
            <v>301000</v>
          </cell>
          <cell r="AB65">
            <v>4.2300000000000004</v>
          </cell>
          <cell r="AC65">
            <v>1.04</v>
          </cell>
        </row>
        <row r="66">
          <cell r="A66">
            <v>36770</v>
          </cell>
          <cell r="B66">
            <v>189000</v>
          </cell>
          <cell r="C66">
            <v>37000</v>
          </cell>
          <cell r="D66">
            <v>125000</v>
          </cell>
          <cell r="E66">
            <v>351000</v>
          </cell>
          <cell r="G66">
            <v>0</v>
          </cell>
          <cell r="H66">
            <v>0</v>
          </cell>
          <cell r="I66">
            <v>0</v>
          </cell>
          <cell r="K66">
            <v>0</v>
          </cell>
          <cell r="L66">
            <v>0</v>
          </cell>
          <cell r="M66">
            <v>0</v>
          </cell>
          <cell r="O66">
            <v>0</v>
          </cell>
          <cell r="Q66">
            <v>-104537</v>
          </cell>
          <cell r="R66">
            <v>0</v>
          </cell>
          <cell r="S66">
            <v>-104537</v>
          </cell>
          <cell r="U66">
            <v>-20463</v>
          </cell>
          <cell r="V66">
            <v>0</v>
          </cell>
          <cell r="W66">
            <v>-20463</v>
          </cell>
          <cell r="Y66">
            <v>-125000</v>
          </cell>
          <cell r="Z66">
            <v>-125000</v>
          </cell>
          <cell r="AA66">
            <v>226000</v>
          </cell>
          <cell r="AB66">
            <v>4.2300000000000004</v>
          </cell>
          <cell r="AC66">
            <v>1.04</v>
          </cell>
        </row>
        <row r="67">
          <cell r="A67">
            <v>36800</v>
          </cell>
          <cell r="B67">
            <v>245000</v>
          </cell>
          <cell r="C67">
            <v>51000</v>
          </cell>
          <cell r="D67">
            <v>100000</v>
          </cell>
          <cell r="E67">
            <v>396000</v>
          </cell>
          <cell r="G67">
            <v>0</v>
          </cell>
          <cell r="H67">
            <v>0</v>
          </cell>
          <cell r="I67">
            <v>0</v>
          </cell>
          <cell r="K67">
            <v>0</v>
          </cell>
          <cell r="L67">
            <v>0</v>
          </cell>
          <cell r="M67">
            <v>0</v>
          </cell>
          <cell r="O67">
            <v>0</v>
          </cell>
          <cell r="Q67">
            <v>-82770</v>
          </cell>
          <cell r="R67">
            <v>0</v>
          </cell>
          <cell r="S67">
            <v>-82770</v>
          </cell>
          <cell r="U67">
            <v>-17230</v>
          </cell>
          <cell r="V67">
            <v>0</v>
          </cell>
          <cell r="W67">
            <v>-17230</v>
          </cell>
          <cell r="Y67">
            <v>-100000</v>
          </cell>
          <cell r="Z67">
            <v>-100000</v>
          </cell>
          <cell r="AA67">
            <v>296000</v>
          </cell>
          <cell r="AB67">
            <v>4.8</v>
          </cell>
          <cell r="AC67">
            <v>1.04</v>
          </cell>
        </row>
        <row r="68">
          <cell r="A68">
            <v>36831</v>
          </cell>
          <cell r="B68">
            <v>381939</v>
          </cell>
          <cell r="C68">
            <v>78061</v>
          </cell>
          <cell r="D68">
            <v>-130000</v>
          </cell>
          <cell r="E68">
            <v>330000</v>
          </cell>
          <cell r="G68">
            <v>0</v>
          </cell>
          <cell r="H68">
            <v>0</v>
          </cell>
          <cell r="I68">
            <v>0</v>
          </cell>
          <cell r="K68">
            <v>0</v>
          </cell>
          <cell r="L68">
            <v>0</v>
          </cell>
          <cell r="M68">
            <v>0</v>
          </cell>
          <cell r="O68">
            <v>0</v>
          </cell>
          <cell r="Q68">
            <v>0</v>
          </cell>
          <cell r="R68">
            <v>107939</v>
          </cell>
          <cell r="S68">
            <v>107939</v>
          </cell>
          <cell r="U68">
            <v>0</v>
          </cell>
          <cell r="V68">
            <v>22061</v>
          </cell>
          <cell r="W68">
            <v>22061</v>
          </cell>
          <cell r="Y68">
            <v>130000</v>
          </cell>
          <cell r="Z68">
            <v>130000</v>
          </cell>
          <cell r="AA68">
            <v>460000</v>
          </cell>
          <cell r="AB68">
            <v>5.4</v>
          </cell>
          <cell r="AC68">
            <v>1.04</v>
          </cell>
        </row>
        <row r="69">
          <cell r="A69">
            <v>36861</v>
          </cell>
          <cell r="B69">
            <v>531200</v>
          </cell>
          <cell r="C69">
            <v>108800</v>
          </cell>
          <cell r="D69">
            <v>-300000</v>
          </cell>
          <cell r="E69">
            <v>340000</v>
          </cell>
          <cell r="G69">
            <v>0</v>
          </cell>
          <cell r="H69">
            <v>0</v>
          </cell>
          <cell r="I69">
            <v>0</v>
          </cell>
          <cell r="K69">
            <v>0</v>
          </cell>
          <cell r="L69">
            <v>0</v>
          </cell>
          <cell r="M69">
            <v>0</v>
          </cell>
          <cell r="O69">
            <v>0</v>
          </cell>
          <cell r="Q69">
            <v>0</v>
          </cell>
          <cell r="R69">
            <v>249000</v>
          </cell>
          <cell r="S69">
            <v>249000</v>
          </cell>
          <cell r="U69">
            <v>0</v>
          </cell>
          <cell r="V69">
            <v>51000</v>
          </cell>
          <cell r="W69">
            <v>51000</v>
          </cell>
          <cell r="Y69">
            <v>300000</v>
          </cell>
          <cell r="Z69">
            <v>300000</v>
          </cell>
          <cell r="AA69">
            <v>640000</v>
          </cell>
          <cell r="AB69">
            <v>5.4</v>
          </cell>
          <cell r="AC69">
            <v>1.04</v>
          </cell>
        </row>
        <row r="70">
          <cell r="A70">
            <v>36892</v>
          </cell>
          <cell r="B70">
            <v>564400</v>
          </cell>
          <cell r="C70">
            <v>115600</v>
          </cell>
          <cell r="D70">
            <v>-300000</v>
          </cell>
          <cell r="E70">
            <v>380000</v>
          </cell>
          <cell r="G70">
            <v>0</v>
          </cell>
          <cell r="H70">
            <v>0</v>
          </cell>
          <cell r="I70">
            <v>0</v>
          </cell>
          <cell r="K70">
            <v>0</v>
          </cell>
          <cell r="L70">
            <v>0</v>
          </cell>
          <cell r="M70">
            <v>0</v>
          </cell>
          <cell r="O70">
            <v>0</v>
          </cell>
          <cell r="Q70">
            <v>0</v>
          </cell>
          <cell r="R70">
            <v>249000</v>
          </cell>
          <cell r="S70">
            <v>249000</v>
          </cell>
          <cell r="U70">
            <v>0</v>
          </cell>
          <cell r="V70">
            <v>51000</v>
          </cell>
          <cell r="W70">
            <v>51000</v>
          </cell>
          <cell r="Y70">
            <v>300000</v>
          </cell>
          <cell r="Z70">
            <v>300000</v>
          </cell>
          <cell r="AA70">
            <v>680000</v>
          </cell>
          <cell r="AB70">
            <v>5.4</v>
          </cell>
          <cell r="AC70">
            <v>1.04</v>
          </cell>
        </row>
        <row r="71">
          <cell r="A71">
            <v>36923</v>
          </cell>
          <cell r="B71">
            <v>464800</v>
          </cell>
          <cell r="C71">
            <v>95200</v>
          </cell>
          <cell r="D71">
            <v>-300000</v>
          </cell>
          <cell r="E71">
            <v>260000</v>
          </cell>
          <cell r="G71">
            <v>0</v>
          </cell>
          <cell r="H71">
            <v>0</v>
          </cell>
          <cell r="I71">
            <v>0</v>
          </cell>
          <cell r="K71">
            <v>0</v>
          </cell>
          <cell r="L71">
            <v>0</v>
          </cell>
          <cell r="M71">
            <v>0</v>
          </cell>
          <cell r="O71">
            <v>0</v>
          </cell>
          <cell r="Q71">
            <v>0</v>
          </cell>
          <cell r="R71">
            <v>249000</v>
          </cell>
          <cell r="S71">
            <v>249000</v>
          </cell>
          <cell r="U71">
            <v>0</v>
          </cell>
          <cell r="V71">
            <v>51000</v>
          </cell>
          <cell r="W71">
            <v>51000</v>
          </cell>
          <cell r="Y71">
            <v>300000</v>
          </cell>
          <cell r="Z71">
            <v>300000</v>
          </cell>
          <cell r="AA71">
            <v>560000</v>
          </cell>
          <cell r="AB71">
            <v>7.42</v>
          </cell>
          <cell r="AC71">
            <v>1.04</v>
          </cell>
        </row>
        <row r="72">
          <cell r="A72">
            <v>36951</v>
          </cell>
          <cell r="B72">
            <v>431600</v>
          </cell>
          <cell r="C72">
            <v>88400</v>
          </cell>
          <cell r="D72">
            <v>-140000</v>
          </cell>
          <cell r="E72">
            <v>380000</v>
          </cell>
          <cell r="G72">
            <v>0</v>
          </cell>
          <cell r="H72">
            <v>0</v>
          </cell>
          <cell r="I72">
            <v>0</v>
          </cell>
          <cell r="K72">
            <v>0</v>
          </cell>
          <cell r="L72">
            <v>0</v>
          </cell>
          <cell r="M72">
            <v>0</v>
          </cell>
          <cell r="O72">
            <v>0</v>
          </cell>
          <cell r="Q72">
            <v>0</v>
          </cell>
          <cell r="R72">
            <v>116200</v>
          </cell>
          <cell r="S72">
            <v>116200</v>
          </cell>
          <cell r="U72">
            <v>0</v>
          </cell>
          <cell r="V72">
            <v>23800</v>
          </cell>
          <cell r="W72">
            <v>23800</v>
          </cell>
          <cell r="Y72">
            <v>140000</v>
          </cell>
          <cell r="Z72">
            <v>140000</v>
          </cell>
          <cell r="AA72">
            <v>520000</v>
          </cell>
          <cell r="AB72">
            <v>6</v>
          </cell>
          <cell r="AC72">
            <v>1.04</v>
          </cell>
        </row>
        <row r="73">
          <cell r="A73">
            <v>36982</v>
          </cell>
          <cell r="B73">
            <v>259000</v>
          </cell>
          <cell r="C73">
            <v>60000</v>
          </cell>
          <cell r="D73">
            <v>150000</v>
          </cell>
          <cell r="E73">
            <v>469000</v>
          </cell>
          <cell r="G73">
            <v>-123837</v>
          </cell>
          <cell r="H73">
            <v>0</v>
          </cell>
          <cell r="I73">
            <v>-123837</v>
          </cell>
          <cell r="K73">
            <v>-26163</v>
          </cell>
          <cell r="L73">
            <v>0</v>
          </cell>
          <cell r="M73">
            <v>-26163</v>
          </cell>
          <cell r="O73">
            <v>-150000</v>
          </cell>
          <cell r="Q73">
            <v>0</v>
          </cell>
          <cell r="R73">
            <v>0</v>
          </cell>
          <cell r="S73">
            <v>0</v>
          </cell>
          <cell r="U73">
            <v>0</v>
          </cell>
          <cell r="V73">
            <v>0</v>
          </cell>
          <cell r="W73">
            <v>0</v>
          </cell>
          <cell r="Y73">
            <v>0</v>
          </cell>
          <cell r="Z73">
            <v>-150000</v>
          </cell>
          <cell r="AA73">
            <v>319000</v>
          </cell>
          <cell r="AB73">
            <v>5.41</v>
          </cell>
          <cell r="AC73">
            <v>1.04</v>
          </cell>
        </row>
        <row r="74">
          <cell r="A74">
            <v>37012</v>
          </cell>
          <cell r="B74">
            <v>84100</v>
          </cell>
          <cell r="C74">
            <v>17900</v>
          </cell>
          <cell r="D74">
            <v>200000</v>
          </cell>
          <cell r="E74">
            <v>302000</v>
          </cell>
          <cell r="G74">
            <v>-164900</v>
          </cell>
          <cell r="H74">
            <v>0</v>
          </cell>
          <cell r="I74">
            <v>-164900</v>
          </cell>
          <cell r="K74">
            <v>-35100</v>
          </cell>
          <cell r="L74">
            <v>0</v>
          </cell>
          <cell r="M74">
            <v>-35100</v>
          </cell>
          <cell r="O74">
            <v>-200000</v>
          </cell>
          <cell r="Q74">
            <v>0</v>
          </cell>
          <cell r="R74">
            <v>0</v>
          </cell>
          <cell r="S74">
            <v>0</v>
          </cell>
          <cell r="U74">
            <v>0</v>
          </cell>
          <cell r="V74">
            <v>0</v>
          </cell>
          <cell r="W74">
            <v>0</v>
          </cell>
          <cell r="Y74">
            <v>0</v>
          </cell>
          <cell r="Z74">
            <v>-200000</v>
          </cell>
          <cell r="AA74">
            <v>102000</v>
          </cell>
          <cell r="AB74">
            <v>5.24</v>
          </cell>
          <cell r="AC74">
            <v>1.04</v>
          </cell>
        </row>
        <row r="75">
          <cell r="A75">
            <v>37043</v>
          </cell>
          <cell r="B75">
            <v>73185</v>
          </cell>
          <cell r="C75">
            <v>14815</v>
          </cell>
          <cell r="D75">
            <v>215000</v>
          </cell>
          <cell r="E75">
            <v>303000</v>
          </cell>
          <cell r="G75">
            <v>-178815</v>
          </cell>
          <cell r="H75">
            <v>0</v>
          </cell>
          <cell r="I75">
            <v>-178815</v>
          </cell>
          <cell r="K75">
            <v>-36185</v>
          </cell>
          <cell r="L75">
            <v>0</v>
          </cell>
          <cell r="M75">
            <v>-36185</v>
          </cell>
          <cell r="O75">
            <v>-215000</v>
          </cell>
          <cell r="Q75">
            <v>0</v>
          </cell>
          <cell r="R75">
            <v>0</v>
          </cell>
          <cell r="S75">
            <v>0</v>
          </cell>
          <cell r="U75">
            <v>0</v>
          </cell>
          <cell r="V75">
            <v>0</v>
          </cell>
          <cell r="W75">
            <v>0</v>
          </cell>
          <cell r="Y75">
            <v>0</v>
          </cell>
          <cell r="Z75">
            <v>-215000</v>
          </cell>
          <cell r="AA75">
            <v>88000</v>
          </cell>
          <cell r="AB75">
            <v>5.09</v>
          </cell>
          <cell r="AC75">
            <v>1.04</v>
          </cell>
        </row>
        <row r="76">
          <cell r="A76">
            <v>37073</v>
          </cell>
          <cell r="B76">
            <v>70595</v>
          </cell>
          <cell r="C76">
            <v>14405</v>
          </cell>
          <cell r="D76">
            <v>210000</v>
          </cell>
          <cell r="E76">
            <v>295000</v>
          </cell>
          <cell r="G76">
            <v>-174405</v>
          </cell>
          <cell r="H76">
            <v>0</v>
          </cell>
          <cell r="I76">
            <v>-174405</v>
          </cell>
          <cell r="K76">
            <v>-35595</v>
          </cell>
          <cell r="L76">
            <v>0</v>
          </cell>
          <cell r="M76">
            <v>-35595</v>
          </cell>
          <cell r="O76">
            <v>-210000</v>
          </cell>
          <cell r="Q76">
            <v>0</v>
          </cell>
          <cell r="R76">
            <v>0</v>
          </cell>
          <cell r="S76">
            <v>0</v>
          </cell>
          <cell r="U76">
            <v>0</v>
          </cell>
          <cell r="V76">
            <v>0</v>
          </cell>
          <cell r="W76">
            <v>0</v>
          </cell>
          <cell r="Y76">
            <v>0</v>
          </cell>
          <cell r="Z76">
            <v>-210000</v>
          </cell>
          <cell r="AA76">
            <v>85000</v>
          </cell>
          <cell r="AB76">
            <v>4.0599999999999996</v>
          </cell>
          <cell r="AC76">
            <v>1.04</v>
          </cell>
        </row>
        <row r="77">
          <cell r="A77">
            <v>37104</v>
          </cell>
          <cell r="B77">
            <v>84560</v>
          </cell>
          <cell r="C77">
            <v>16440</v>
          </cell>
          <cell r="D77">
            <v>200000</v>
          </cell>
          <cell r="E77">
            <v>301000</v>
          </cell>
          <cell r="G77">
            <v>-167440</v>
          </cell>
          <cell r="H77">
            <v>0</v>
          </cell>
          <cell r="I77">
            <v>-167440</v>
          </cell>
          <cell r="K77">
            <v>-32560</v>
          </cell>
          <cell r="L77">
            <v>0</v>
          </cell>
          <cell r="M77">
            <v>-32560</v>
          </cell>
          <cell r="O77">
            <v>-200000</v>
          </cell>
          <cell r="Q77">
            <v>0</v>
          </cell>
          <cell r="R77">
            <v>0</v>
          </cell>
          <cell r="S77">
            <v>0</v>
          </cell>
          <cell r="U77">
            <v>0</v>
          </cell>
          <cell r="V77">
            <v>0</v>
          </cell>
          <cell r="W77">
            <v>0</v>
          </cell>
          <cell r="Y77">
            <v>0</v>
          </cell>
          <cell r="Z77">
            <v>-200000</v>
          </cell>
          <cell r="AA77">
            <v>101000</v>
          </cell>
          <cell r="AB77">
            <v>3.89</v>
          </cell>
          <cell r="AC77">
            <v>1.04</v>
          </cell>
        </row>
        <row r="78">
          <cell r="A78">
            <v>37196</v>
          </cell>
          <cell r="B78">
            <v>1345960</v>
          </cell>
          <cell r="C78">
            <v>378915</v>
          </cell>
          <cell r="D78">
            <v>-760000</v>
          </cell>
          <cell r="E78">
            <v>964875</v>
          </cell>
          <cell r="G78">
            <v>0</v>
          </cell>
          <cell r="H78">
            <v>0</v>
          </cell>
          <cell r="I78">
            <v>0</v>
          </cell>
          <cell r="K78">
            <v>0</v>
          </cell>
          <cell r="L78">
            <v>0</v>
          </cell>
          <cell r="M78">
            <v>0</v>
          </cell>
          <cell r="O78">
            <v>0</v>
          </cell>
          <cell r="Q78">
            <v>0</v>
          </cell>
          <cell r="R78">
            <v>591885</v>
          </cell>
          <cell r="S78">
            <v>591885</v>
          </cell>
          <cell r="U78">
            <v>0</v>
          </cell>
          <cell r="V78">
            <v>168115</v>
          </cell>
          <cell r="W78">
            <v>168115</v>
          </cell>
          <cell r="Y78">
            <v>760000</v>
          </cell>
          <cell r="Z78">
            <v>760000</v>
          </cell>
          <cell r="AA78">
            <v>1724875</v>
          </cell>
          <cell r="AB78">
            <v>3.23</v>
          </cell>
          <cell r="AC78">
            <v>1.04</v>
          </cell>
        </row>
        <row r="79">
          <cell r="A79">
            <v>37288</v>
          </cell>
          <cell r="B79">
            <v>1569456</v>
          </cell>
          <cell r="C79">
            <v>296044</v>
          </cell>
          <cell r="D79">
            <v>-698000</v>
          </cell>
          <cell r="E79">
            <v>1167500</v>
          </cell>
          <cell r="G79">
            <v>0</v>
          </cell>
          <cell r="H79">
            <v>0</v>
          </cell>
          <cell r="I79">
            <v>0</v>
          </cell>
          <cell r="K79">
            <v>0</v>
          </cell>
          <cell r="L79">
            <v>0</v>
          </cell>
          <cell r="M79">
            <v>0</v>
          </cell>
          <cell r="O79">
            <v>0</v>
          </cell>
          <cell r="Q79">
            <v>0</v>
          </cell>
          <cell r="R79">
            <v>588536</v>
          </cell>
          <cell r="S79">
            <v>588536</v>
          </cell>
          <cell r="U79">
            <v>0</v>
          </cell>
          <cell r="V79">
            <v>109464</v>
          </cell>
          <cell r="W79">
            <v>109464</v>
          </cell>
          <cell r="Y79">
            <v>698000</v>
          </cell>
          <cell r="Z79">
            <v>698000</v>
          </cell>
          <cell r="AA79">
            <v>1865500</v>
          </cell>
          <cell r="AB79">
            <v>3</v>
          </cell>
          <cell r="AC79">
            <v>1.04</v>
          </cell>
        </row>
        <row r="80">
          <cell r="A80">
            <v>37377</v>
          </cell>
          <cell r="B80">
            <v>266172</v>
          </cell>
          <cell r="C80">
            <v>77038</v>
          </cell>
          <cell r="D80">
            <v>-216200</v>
          </cell>
          <cell r="E80">
            <v>127010</v>
          </cell>
          <cell r="G80">
            <v>-167528</v>
          </cell>
          <cell r="H80">
            <v>0</v>
          </cell>
          <cell r="I80">
            <v>-167528</v>
          </cell>
          <cell r="K80">
            <v>-48672</v>
          </cell>
          <cell r="L80">
            <v>0</v>
          </cell>
          <cell r="M80">
            <v>-48672</v>
          </cell>
          <cell r="O80">
            <v>-216200</v>
          </cell>
          <cell r="Q80">
            <v>0</v>
          </cell>
          <cell r="R80">
            <v>0</v>
          </cell>
          <cell r="S80">
            <v>0</v>
          </cell>
          <cell r="U80">
            <v>0</v>
          </cell>
          <cell r="V80">
            <v>0</v>
          </cell>
          <cell r="W80">
            <v>0</v>
          </cell>
          <cell r="Y80">
            <v>0</v>
          </cell>
          <cell r="Z80">
            <v>-216200</v>
          </cell>
          <cell r="AA80">
            <v>-89190</v>
          </cell>
          <cell r="AB80">
            <v>3.3209</v>
          </cell>
          <cell r="AC80">
            <v>1.04</v>
          </cell>
        </row>
        <row r="81">
          <cell r="A81">
            <v>37469</v>
          </cell>
          <cell r="B81">
            <v>336479</v>
          </cell>
          <cell r="C81">
            <v>99381</v>
          </cell>
          <cell r="D81">
            <v>-70500</v>
          </cell>
          <cell r="E81">
            <v>365360</v>
          </cell>
          <cell r="G81">
            <v>-166721</v>
          </cell>
          <cell r="H81">
            <v>0</v>
          </cell>
          <cell r="I81">
            <v>-166721</v>
          </cell>
          <cell r="K81">
            <v>-49479</v>
          </cell>
          <cell r="L81">
            <v>0</v>
          </cell>
          <cell r="M81">
            <v>-49479</v>
          </cell>
          <cell r="O81">
            <v>-216200</v>
          </cell>
          <cell r="Q81">
            <v>0</v>
          </cell>
          <cell r="R81">
            <v>0</v>
          </cell>
          <cell r="S81">
            <v>0</v>
          </cell>
          <cell r="U81">
            <v>0</v>
          </cell>
          <cell r="V81">
            <v>0</v>
          </cell>
          <cell r="W81">
            <v>0</v>
          </cell>
          <cell r="Y81">
            <v>0</v>
          </cell>
          <cell r="Z81">
            <v>-216200</v>
          </cell>
          <cell r="AA81">
            <v>149160</v>
          </cell>
          <cell r="AB81">
            <v>3.28</v>
          </cell>
          <cell r="AC81">
            <v>1.04</v>
          </cell>
        </row>
        <row r="82">
          <cell r="A82">
            <v>37561</v>
          </cell>
          <cell r="B82">
            <v>1492668</v>
          </cell>
          <cell r="C82">
            <v>400282</v>
          </cell>
          <cell r="D82">
            <v>-730000</v>
          </cell>
          <cell r="E82">
            <v>1162950</v>
          </cell>
          <cell r="G82">
            <v>0</v>
          </cell>
          <cell r="H82">
            <v>0</v>
          </cell>
          <cell r="I82">
            <v>0</v>
          </cell>
          <cell r="K82">
            <v>0</v>
          </cell>
          <cell r="L82">
            <v>0</v>
          </cell>
          <cell r="M82">
            <v>0</v>
          </cell>
          <cell r="O82">
            <v>0</v>
          </cell>
          <cell r="Q82">
            <v>574243</v>
          </cell>
          <cell r="S82">
            <v>574243</v>
          </cell>
          <cell r="U82">
            <v>155757</v>
          </cell>
          <cell r="V82">
            <v>0</v>
          </cell>
          <cell r="W82">
            <v>155757</v>
          </cell>
          <cell r="Y82">
            <v>730000</v>
          </cell>
          <cell r="Z82">
            <v>730000</v>
          </cell>
          <cell r="AA82">
            <v>1892950</v>
          </cell>
          <cell r="AB82">
            <v>3.7610000000000001</v>
          </cell>
          <cell r="AC82">
            <v>1.04</v>
          </cell>
        </row>
        <row r="83">
          <cell r="A83">
            <v>37653</v>
          </cell>
          <cell r="B83">
            <v>1183994</v>
          </cell>
          <cell r="C83">
            <v>271006</v>
          </cell>
          <cell r="D83">
            <v>-410500</v>
          </cell>
          <cell r="E83">
            <v>1044500</v>
          </cell>
          <cell r="G83">
            <v>0</v>
          </cell>
          <cell r="H83">
            <v>0</v>
          </cell>
          <cell r="I83">
            <v>0</v>
          </cell>
          <cell r="K83">
            <v>0</v>
          </cell>
          <cell r="L83">
            <v>0</v>
          </cell>
          <cell r="M83">
            <v>0</v>
          </cell>
          <cell r="O83">
            <v>0</v>
          </cell>
          <cell r="Q83">
            <v>335144</v>
          </cell>
          <cell r="S83">
            <v>335144</v>
          </cell>
          <cell r="U83">
            <v>75356</v>
          </cell>
          <cell r="V83">
            <v>0</v>
          </cell>
          <cell r="W83">
            <v>75356</v>
          </cell>
          <cell r="Y83">
            <v>410500</v>
          </cell>
          <cell r="Z83">
            <v>410500</v>
          </cell>
          <cell r="AA83">
            <v>1455000</v>
          </cell>
          <cell r="AB83">
            <v>4.1559999999999997</v>
          </cell>
          <cell r="AC83">
            <v>1.04</v>
          </cell>
        </row>
        <row r="84">
          <cell r="A84">
            <v>37712</v>
          </cell>
          <cell r="B84">
            <v>227104</v>
          </cell>
          <cell r="C84">
            <v>74396</v>
          </cell>
          <cell r="D84">
            <v>-70500</v>
          </cell>
          <cell r="E84">
            <v>231000</v>
          </cell>
          <cell r="G84">
            <v>-53104</v>
          </cell>
          <cell r="H84">
            <v>0</v>
          </cell>
          <cell r="I84">
            <v>-53104</v>
          </cell>
          <cell r="K84">
            <v>-17396</v>
          </cell>
          <cell r="L84">
            <v>0</v>
          </cell>
          <cell r="M84">
            <v>-17396</v>
          </cell>
          <cell r="O84">
            <v>-70500</v>
          </cell>
          <cell r="S84">
            <v>0</v>
          </cell>
          <cell r="V84">
            <v>0</v>
          </cell>
          <cell r="W84">
            <v>0</v>
          </cell>
          <cell r="Y84">
            <v>0</v>
          </cell>
          <cell r="Z84">
            <v>-70500</v>
          </cell>
          <cell r="AA84">
            <v>160500</v>
          </cell>
          <cell r="AB84">
            <v>6.0359999999999996</v>
          </cell>
          <cell r="AC84">
            <v>1.04</v>
          </cell>
        </row>
        <row r="85">
          <cell r="A85">
            <v>37742</v>
          </cell>
          <cell r="B85">
            <v>266172</v>
          </cell>
          <cell r="C85">
            <v>77038</v>
          </cell>
          <cell r="D85">
            <v>-216200</v>
          </cell>
          <cell r="E85">
            <v>127010</v>
          </cell>
          <cell r="G85">
            <v>-167528</v>
          </cell>
          <cell r="H85">
            <v>0</v>
          </cell>
          <cell r="I85">
            <v>-167528</v>
          </cell>
          <cell r="K85">
            <v>-48672</v>
          </cell>
          <cell r="L85">
            <v>0</v>
          </cell>
          <cell r="M85">
            <v>-48672</v>
          </cell>
          <cell r="O85">
            <v>-216200</v>
          </cell>
          <cell r="S85">
            <v>0</v>
          </cell>
          <cell r="V85">
            <v>0</v>
          </cell>
          <cell r="W85">
            <v>0</v>
          </cell>
          <cell r="Y85">
            <v>0</v>
          </cell>
          <cell r="Z85">
            <v>-216200</v>
          </cell>
          <cell r="AA85">
            <v>-89190</v>
          </cell>
          <cell r="AB85">
            <v>5.0979999999999999</v>
          </cell>
          <cell r="AC85">
            <v>1.04</v>
          </cell>
        </row>
        <row r="86">
          <cell r="A86">
            <v>37834</v>
          </cell>
          <cell r="B86">
            <v>336479</v>
          </cell>
          <cell r="C86">
            <v>99381</v>
          </cell>
          <cell r="D86">
            <v>-216200</v>
          </cell>
          <cell r="E86">
            <v>219660</v>
          </cell>
          <cell r="G86">
            <v>-166721</v>
          </cell>
          <cell r="H86">
            <v>0</v>
          </cell>
          <cell r="I86">
            <v>-166721</v>
          </cell>
          <cell r="K86">
            <v>-49479</v>
          </cell>
          <cell r="L86">
            <v>0</v>
          </cell>
          <cell r="M86">
            <v>-49479</v>
          </cell>
          <cell r="O86">
            <v>-216200</v>
          </cell>
          <cell r="S86">
            <v>0</v>
          </cell>
          <cell r="V86">
            <v>0</v>
          </cell>
          <cell r="W86">
            <v>0</v>
          </cell>
          <cell r="Y86">
            <v>0</v>
          </cell>
          <cell r="Z86">
            <v>-216200</v>
          </cell>
          <cell r="AA86">
            <v>3460</v>
          </cell>
          <cell r="AB86">
            <v>5.7990000000000004</v>
          </cell>
          <cell r="AC86">
            <v>1.04</v>
          </cell>
        </row>
        <row r="87">
          <cell r="A87">
            <v>37926</v>
          </cell>
          <cell r="B87">
            <v>1385343</v>
          </cell>
          <cell r="C87">
            <v>274657</v>
          </cell>
          <cell r="D87">
            <v>-790000</v>
          </cell>
          <cell r="E87">
            <v>870000</v>
          </cell>
          <cell r="G87">
            <v>0</v>
          </cell>
          <cell r="H87">
            <v>0</v>
          </cell>
          <cell r="I87">
            <v>0</v>
          </cell>
          <cell r="K87">
            <v>0</v>
          </cell>
          <cell r="L87">
            <v>0</v>
          </cell>
          <cell r="M87">
            <v>0</v>
          </cell>
          <cell r="O87">
            <v>0</v>
          </cell>
          <cell r="Q87">
            <v>658343</v>
          </cell>
          <cell r="S87">
            <v>658343</v>
          </cell>
          <cell r="U87">
            <v>131657</v>
          </cell>
          <cell r="V87">
            <v>0</v>
          </cell>
          <cell r="W87">
            <v>131657</v>
          </cell>
          <cell r="Y87">
            <v>790000</v>
          </cell>
          <cell r="Z87">
            <v>790000</v>
          </cell>
          <cell r="AA87">
            <v>1660000</v>
          </cell>
          <cell r="AB87">
            <v>5.234</v>
          </cell>
          <cell r="AC87">
            <v>1.04</v>
          </cell>
        </row>
        <row r="88">
          <cell r="A88">
            <v>38018</v>
          </cell>
          <cell r="B88">
            <v>964648</v>
          </cell>
          <cell r="C88">
            <v>216852</v>
          </cell>
          <cell r="D88">
            <v>-389500</v>
          </cell>
          <cell r="E88">
            <v>792000</v>
          </cell>
          <cell r="G88">
            <v>0</v>
          </cell>
          <cell r="H88">
            <v>0</v>
          </cell>
          <cell r="I88">
            <v>0</v>
          </cell>
          <cell r="K88">
            <v>0</v>
          </cell>
          <cell r="L88">
            <v>0</v>
          </cell>
          <cell r="M88">
            <v>0</v>
          </cell>
          <cell r="O88">
            <v>0</v>
          </cell>
          <cell r="Q88">
            <v>438648</v>
          </cell>
          <cell r="S88">
            <v>438648</v>
          </cell>
          <cell r="U88">
            <v>91852</v>
          </cell>
          <cell r="V88">
            <v>0</v>
          </cell>
          <cell r="W88">
            <v>91852</v>
          </cell>
          <cell r="Y88">
            <v>530500</v>
          </cell>
          <cell r="Z88">
            <v>530500</v>
          </cell>
          <cell r="AA88">
            <v>1322500</v>
          </cell>
          <cell r="AB88">
            <v>5.5650000000000004</v>
          </cell>
          <cell r="AC88">
            <v>1.04</v>
          </cell>
        </row>
        <row r="89">
          <cell r="A89">
            <v>38108</v>
          </cell>
          <cell r="B89">
            <v>185000</v>
          </cell>
          <cell r="C89">
            <v>33000</v>
          </cell>
          <cell r="D89">
            <v>-570000</v>
          </cell>
          <cell r="E89">
            <v>-352000</v>
          </cell>
          <cell r="G89">
            <v>-483566</v>
          </cell>
          <cell r="H89">
            <v>0</v>
          </cell>
          <cell r="I89">
            <v>-483566</v>
          </cell>
          <cell r="K89">
            <v>-86434</v>
          </cell>
          <cell r="L89">
            <v>0</v>
          </cell>
          <cell r="M89">
            <v>-86434</v>
          </cell>
          <cell r="O89">
            <v>-570000</v>
          </cell>
          <cell r="Q89">
            <v>0</v>
          </cell>
          <cell r="S89">
            <v>0</v>
          </cell>
          <cell r="U89">
            <v>0</v>
          </cell>
          <cell r="V89">
            <v>0</v>
          </cell>
          <cell r="W89">
            <v>0</v>
          </cell>
          <cell r="Y89">
            <v>0</v>
          </cell>
          <cell r="Z89">
            <v>-570000</v>
          </cell>
          <cell r="AA89">
            <v>-922000</v>
          </cell>
          <cell r="AB89">
            <v>5.5229999999999997</v>
          </cell>
          <cell r="AC89">
            <v>1.04</v>
          </cell>
        </row>
        <row r="90">
          <cell r="A90">
            <v>38200</v>
          </cell>
          <cell r="B90">
            <v>201000</v>
          </cell>
          <cell r="C90">
            <v>36000</v>
          </cell>
          <cell r="D90">
            <v>530000</v>
          </cell>
          <cell r="E90">
            <v>767000</v>
          </cell>
          <cell r="G90">
            <v>-448989</v>
          </cell>
          <cell r="I90">
            <v>-448989</v>
          </cell>
          <cell r="K90">
            <v>-81011</v>
          </cell>
          <cell r="M90">
            <v>-81011</v>
          </cell>
          <cell r="O90">
            <v>-530000</v>
          </cell>
          <cell r="Q90">
            <v>0</v>
          </cell>
          <cell r="S90">
            <v>0</v>
          </cell>
          <cell r="U90">
            <v>0</v>
          </cell>
          <cell r="V90">
            <v>0</v>
          </cell>
          <cell r="W90">
            <v>0</v>
          </cell>
          <cell r="Y90">
            <v>0</v>
          </cell>
          <cell r="Z90">
            <v>-530000</v>
          </cell>
          <cell r="AA90">
            <v>237000</v>
          </cell>
          <cell r="AB90">
            <v>6.4210000000000003</v>
          </cell>
          <cell r="AC90">
            <v>1.04</v>
          </cell>
        </row>
        <row r="91">
          <cell r="A91">
            <v>38292</v>
          </cell>
          <cell r="B91">
            <v>1506475</v>
          </cell>
          <cell r="C91">
            <v>152925</v>
          </cell>
          <cell r="D91">
            <v>-790000</v>
          </cell>
          <cell r="E91">
            <v>869400</v>
          </cell>
          <cell r="G91">
            <v>0</v>
          </cell>
          <cell r="I91">
            <v>0</v>
          </cell>
          <cell r="K91">
            <v>0</v>
          </cell>
          <cell r="M91">
            <v>0</v>
          </cell>
          <cell r="O91">
            <v>0</v>
          </cell>
          <cell r="Q91">
            <v>717375</v>
          </cell>
          <cell r="S91">
            <v>717375</v>
          </cell>
          <cell r="U91">
            <v>72625</v>
          </cell>
          <cell r="V91">
            <v>0</v>
          </cell>
          <cell r="W91">
            <v>72625</v>
          </cell>
          <cell r="Y91">
            <v>790000</v>
          </cell>
          <cell r="Z91">
            <v>790000</v>
          </cell>
          <cell r="AA91">
            <v>1659400</v>
          </cell>
          <cell r="AB91">
            <v>6.3070000000000004</v>
          </cell>
          <cell r="AC91">
            <v>1.04</v>
          </cell>
        </row>
        <row r="92">
          <cell r="A92">
            <v>38384</v>
          </cell>
          <cell r="B92">
            <v>1073273</v>
          </cell>
          <cell r="C92">
            <v>129027</v>
          </cell>
          <cell r="D92">
            <v>-150000</v>
          </cell>
          <cell r="E92">
            <v>1052300</v>
          </cell>
          <cell r="G92">
            <v>-125460</v>
          </cell>
          <cell r="I92">
            <v>-125460</v>
          </cell>
          <cell r="K92">
            <v>-24540</v>
          </cell>
          <cell r="M92">
            <v>-24540</v>
          </cell>
          <cell r="O92">
            <v>-150000</v>
          </cell>
          <cell r="Q92">
            <v>432800</v>
          </cell>
          <cell r="S92">
            <v>432800</v>
          </cell>
          <cell r="U92">
            <v>43500</v>
          </cell>
          <cell r="V92">
            <v>0</v>
          </cell>
          <cell r="W92">
            <v>43500</v>
          </cell>
          <cell r="Y92">
            <v>476300</v>
          </cell>
          <cell r="Z92">
            <v>326300</v>
          </cell>
          <cell r="AA92">
            <v>1378600</v>
          </cell>
          <cell r="AB92">
            <v>6.3168629726635404</v>
          </cell>
          <cell r="AC92">
            <v>1.04</v>
          </cell>
        </row>
        <row r="93">
          <cell r="A93">
            <v>38473</v>
          </cell>
          <cell r="B93">
            <v>867301.83159283223</v>
          </cell>
          <cell r="C93">
            <v>76000.107407167758</v>
          </cell>
          <cell r="D93">
            <v>-436751.38500000001</v>
          </cell>
          <cell r="E93">
            <v>506550.554</v>
          </cell>
          <cell r="G93">
            <v>-366854.38500000001</v>
          </cell>
          <cell r="I93">
            <v>-366854.38500000001</v>
          </cell>
          <cell r="K93">
            <v>-69897</v>
          </cell>
          <cell r="M93">
            <v>-69897</v>
          </cell>
          <cell r="O93">
            <v>-436751.38500000001</v>
          </cell>
          <cell r="Q93">
            <v>0</v>
          </cell>
          <cell r="S93">
            <v>0</v>
          </cell>
          <cell r="U93">
            <v>0</v>
          </cell>
          <cell r="V93">
            <v>0</v>
          </cell>
          <cell r="W93">
            <v>0</v>
          </cell>
          <cell r="Y93">
            <v>0</v>
          </cell>
          <cell r="Z93">
            <v>-436751.38500000001</v>
          </cell>
          <cell r="AA93">
            <v>69799.168999999994</v>
          </cell>
          <cell r="AB93">
            <v>7.391</v>
          </cell>
          <cell r="AC93">
            <v>1.04</v>
          </cell>
        </row>
        <row r="94">
          <cell r="A94">
            <v>38565</v>
          </cell>
          <cell r="B94">
            <v>842711.46471724217</v>
          </cell>
          <cell r="C94">
            <v>59829.643282757868</v>
          </cell>
          <cell r="D94">
            <v>-349401.10800000001</v>
          </cell>
          <cell r="E94">
            <v>553140</v>
          </cell>
          <cell r="G94">
            <v>-249796.96950000001</v>
          </cell>
          <cell r="H94">
            <v>0</v>
          </cell>
          <cell r="I94">
            <v>-249796.96950000001</v>
          </cell>
          <cell r="K94">
            <v>-55929</v>
          </cell>
          <cell r="L94">
            <v>0</v>
          </cell>
          <cell r="M94">
            <v>-55929</v>
          </cell>
          <cell r="O94">
            <v>-305725.96950000001</v>
          </cell>
          <cell r="Q94">
            <v>0</v>
          </cell>
          <cell r="R94">
            <v>0</v>
          </cell>
          <cell r="S94">
            <v>0</v>
          </cell>
          <cell r="U94">
            <v>0</v>
          </cell>
          <cell r="V94">
            <v>0</v>
          </cell>
          <cell r="W94">
            <v>0</v>
          </cell>
          <cell r="Y94">
            <v>0</v>
          </cell>
          <cell r="Z94">
            <v>-305725.96950000001</v>
          </cell>
          <cell r="AA94">
            <v>247414.03049999999</v>
          </cell>
          <cell r="AB94">
            <v>7.6529999999999996</v>
          </cell>
          <cell r="AC94">
            <v>1.04</v>
          </cell>
        </row>
        <row r="95">
          <cell r="A95">
            <v>38657</v>
          </cell>
          <cell r="B95">
            <v>1390721.3959300916</v>
          </cell>
          <cell r="C95">
            <v>206078.60406990841</v>
          </cell>
          <cell r="D95">
            <v>-810000</v>
          </cell>
          <cell r="E95">
            <v>786800</v>
          </cell>
          <cell r="G95">
            <v>0</v>
          </cell>
          <cell r="H95">
            <v>0</v>
          </cell>
          <cell r="I95">
            <v>0</v>
          </cell>
          <cell r="K95">
            <v>0</v>
          </cell>
          <cell r="L95">
            <v>0</v>
          </cell>
          <cell r="M95">
            <v>0</v>
          </cell>
          <cell r="O95">
            <v>0</v>
          </cell>
          <cell r="Q95">
            <v>723334</v>
          </cell>
          <cell r="R95">
            <v>0</v>
          </cell>
          <cell r="S95">
            <v>723334</v>
          </cell>
          <cell r="U95">
            <v>86666</v>
          </cell>
          <cell r="V95">
            <v>0</v>
          </cell>
          <cell r="W95">
            <v>86666</v>
          </cell>
          <cell r="Y95">
            <v>810000</v>
          </cell>
          <cell r="Z95">
            <v>810000</v>
          </cell>
          <cell r="AA95">
            <v>1596800</v>
          </cell>
          <cell r="AB95">
            <v>9.5749999999999993</v>
          </cell>
          <cell r="AC95">
            <v>1.04</v>
          </cell>
        </row>
        <row r="96">
          <cell r="A96">
            <v>38749</v>
          </cell>
          <cell r="B96">
            <v>994472.07237965171</v>
          </cell>
          <cell r="C96">
            <v>174127.92762034823</v>
          </cell>
          <cell r="D96">
            <v>-290000</v>
          </cell>
          <cell r="E96">
            <v>878600</v>
          </cell>
          <cell r="G96">
            <v>-73350</v>
          </cell>
          <cell r="H96">
            <v>0</v>
          </cell>
          <cell r="I96">
            <v>-73350</v>
          </cell>
          <cell r="K96">
            <v>-13980</v>
          </cell>
          <cell r="L96">
            <v>0</v>
          </cell>
          <cell r="M96">
            <v>-13980</v>
          </cell>
          <cell r="O96">
            <v>-87330</v>
          </cell>
          <cell r="Q96">
            <v>384166</v>
          </cell>
          <cell r="R96">
            <v>0</v>
          </cell>
          <cell r="S96">
            <v>384166</v>
          </cell>
          <cell r="U96">
            <v>55834</v>
          </cell>
          <cell r="V96">
            <v>0</v>
          </cell>
          <cell r="W96">
            <v>55834</v>
          </cell>
          <cell r="Y96">
            <v>440000</v>
          </cell>
          <cell r="Z96">
            <v>352670</v>
          </cell>
          <cell r="AA96">
            <v>1231270</v>
          </cell>
          <cell r="AB96">
            <v>12.723000000000001</v>
          </cell>
          <cell r="AC96">
            <v>1.04</v>
          </cell>
        </row>
        <row r="97">
          <cell r="A97">
            <v>38838</v>
          </cell>
          <cell r="B97">
            <v>186960</v>
          </cell>
          <cell r="C97">
            <v>28880</v>
          </cell>
          <cell r="D97">
            <v>673845</v>
          </cell>
          <cell r="E97">
            <v>889685</v>
          </cell>
          <cell r="G97">
            <v>-566031</v>
          </cell>
          <cell r="H97">
            <v>0</v>
          </cell>
          <cell r="I97">
            <v>-566031</v>
          </cell>
          <cell r="K97">
            <v>-107814</v>
          </cell>
          <cell r="L97">
            <v>0</v>
          </cell>
          <cell r="M97">
            <v>-107814</v>
          </cell>
          <cell r="O97">
            <v>-673845</v>
          </cell>
          <cell r="Q97">
            <v>0</v>
          </cell>
          <cell r="R97">
            <v>0</v>
          </cell>
          <cell r="S97">
            <v>0</v>
          </cell>
          <cell r="U97">
            <v>0</v>
          </cell>
          <cell r="V97">
            <v>0</v>
          </cell>
          <cell r="W97">
            <v>0</v>
          </cell>
          <cell r="Y97">
            <v>0</v>
          </cell>
          <cell r="Z97">
            <v>-673845</v>
          </cell>
          <cell r="AA97">
            <v>215840</v>
          </cell>
          <cell r="AB97">
            <v>7.194</v>
          </cell>
          <cell r="AC97">
            <v>1.04</v>
          </cell>
        </row>
        <row r="98">
          <cell r="A98">
            <v>38930</v>
          </cell>
          <cell r="B98">
            <v>217820</v>
          </cell>
          <cell r="C98">
            <v>35710</v>
          </cell>
          <cell r="D98">
            <v>224614</v>
          </cell>
          <cell r="E98">
            <v>478144</v>
          </cell>
          <cell r="G98">
            <v>-188675</v>
          </cell>
          <cell r="H98">
            <v>0</v>
          </cell>
          <cell r="I98">
            <v>-188675</v>
          </cell>
          <cell r="K98">
            <v>-35939</v>
          </cell>
          <cell r="L98">
            <v>0</v>
          </cell>
          <cell r="M98">
            <v>-35939</v>
          </cell>
          <cell r="O98">
            <v>-224614</v>
          </cell>
          <cell r="R98">
            <v>0</v>
          </cell>
          <cell r="S98">
            <v>0</v>
          </cell>
          <cell r="U98">
            <v>0</v>
          </cell>
          <cell r="V98">
            <v>0</v>
          </cell>
          <cell r="W98">
            <v>0</v>
          </cell>
          <cell r="Y98">
            <v>0</v>
          </cell>
          <cell r="Z98">
            <v>-224614</v>
          </cell>
          <cell r="AA98">
            <v>253530</v>
          </cell>
          <cell r="AB98">
            <v>7.218</v>
          </cell>
          <cell r="AC98">
            <v>1.04</v>
          </cell>
        </row>
        <row r="99">
          <cell r="A99">
            <v>39022</v>
          </cell>
          <cell r="B99">
            <v>725420</v>
          </cell>
          <cell r="C99">
            <v>61380</v>
          </cell>
          <cell r="E99">
            <v>786800</v>
          </cell>
          <cell r="H99">
            <v>0</v>
          </cell>
          <cell r="I99">
            <v>0</v>
          </cell>
          <cell r="L99">
            <v>0</v>
          </cell>
          <cell r="M99">
            <v>0</v>
          </cell>
          <cell r="O99">
            <v>0</v>
          </cell>
          <cell r="Q99">
            <v>705821.39593009162</v>
          </cell>
          <cell r="R99">
            <v>0</v>
          </cell>
          <cell r="S99">
            <v>705821.39593009162</v>
          </cell>
          <cell r="U99">
            <v>104178.60406990841</v>
          </cell>
          <cell r="V99">
            <v>0</v>
          </cell>
          <cell r="W99">
            <v>104178.60406990841</v>
          </cell>
          <cell r="Y99">
            <v>810000</v>
          </cell>
          <cell r="Z99">
            <v>810000</v>
          </cell>
          <cell r="AA99">
            <v>1596800</v>
          </cell>
          <cell r="AB99">
            <v>8.5809999999999995</v>
          </cell>
          <cell r="AC99">
            <v>1.04</v>
          </cell>
        </row>
        <row r="100">
          <cell r="A100">
            <v>39114</v>
          </cell>
          <cell r="B100">
            <v>659675</v>
          </cell>
          <cell r="C100">
            <v>120440</v>
          </cell>
          <cell r="D100">
            <v>215385</v>
          </cell>
          <cell r="E100">
            <v>995500</v>
          </cell>
          <cell r="G100">
            <v>-188675</v>
          </cell>
          <cell r="H100">
            <v>0</v>
          </cell>
          <cell r="I100">
            <v>-188675</v>
          </cell>
          <cell r="K100">
            <v>-35940</v>
          </cell>
          <cell r="L100">
            <v>0</v>
          </cell>
          <cell r="M100">
            <v>-35940</v>
          </cell>
          <cell r="O100">
            <v>-224615</v>
          </cell>
          <cell r="Q100">
            <v>374632</v>
          </cell>
          <cell r="R100">
            <v>0</v>
          </cell>
          <cell r="S100">
            <v>374632</v>
          </cell>
          <cell r="U100">
            <v>65368</v>
          </cell>
          <cell r="V100">
            <v>0</v>
          </cell>
          <cell r="W100">
            <v>65368</v>
          </cell>
          <cell r="Y100">
            <v>440000</v>
          </cell>
          <cell r="Z100">
            <v>215385</v>
          </cell>
          <cell r="AA100">
            <v>995500</v>
          </cell>
          <cell r="AB100">
            <v>6.5910000000000002</v>
          </cell>
          <cell r="AC100">
            <v>1.04</v>
          </cell>
        </row>
        <row r="101">
          <cell r="A101">
            <v>54789</v>
          </cell>
        </row>
      </sheetData>
      <sheetData sheetId="9">
        <row r="10">
          <cell r="A10">
            <v>35370</v>
          </cell>
          <cell r="B10">
            <v>240000</v>
          </cell>
          <cell r="C10">
            <v>2.2999999999999998</v>
          </cell>
          <cell r="D10">
            <v>1.0349999999999999</v>
          </cell>
        </row>
        <row r="11">
          <cell r="A11">
            <v>35400</v>
          </cell>
          <cell r="B11">
            <v>240000</v>
          </cell>
          <cell r="C11">
            <v>2.85</v>
          </cell>
          <cell r="D11">
            <v>1.0349999999999999</v>
          </cell>
        </row>
        <row r="12">
          <cell r="A12">
            <v>35431</v>
          </cell>
          <cell r="B12">
            <v>248000</v>
          </cell>
          <cell r="C12">
            <v>3.15</v>
          </cell>
          <cell r="D12">
            <v>1.0349999999999999</v>
          </cell>
        </row>
        <row r="13">
          <cell r="A13">
            <v>35462</v>
          </cell>
          <cell r="B13">
            <v>224000</v>
          </cell>
          <cell r="C13">
            <v>3.3</v>
          </cell>
          <cell r="D13">
            <v>1.0349999999999999</v>
          </cell>
        </row>
        <row r="14">
          <cell r="A14">
            <v>35490</v>
          </cell>
          <cell r="B14">
            <v>250000</v>
          </cell>
          <cell r="C14">
            <v>2.6</v>
          </cell>
          <cell r="D14">
            <v>1.0349999999999999</v>
          </cell>
        </row>
        <row r="15">
          <cell r="A15">
            <v>35521</v>
          </cell>
          <cell r="B15">
            <v>0</v>
          </cell>
          <cell r="C15">
            <v>1.9</v>
          </cell>
          <cell r="D15">
            <v>1.0349999999999999</v>
          </cell>
        </row>
        <row r="16">
          <cell r="A16">
            <v>35551</v>
          </cell>
          <cell r="B16">
            <v>0</v>
          </cell>
          <cell r="C16">
            <v>1.75</v>
          </cell>
          <cell r="D16">
            <v>1.0349999999999999</v>
          </cell>
        </row>
        <row r="17">
          <cell r="A17">
            <v>35582</v>
          </cell>
          <cell r="B17">
            <v>0</v>
          </cell>
          <cell r="C17">
            <v>2</v>
          </cell>
          <cell r="D17">
            <v>1.0349999999999999</v>
          </cell>
        </row>
        <row r="18">
          <cell r="A18">
            <v>35612</v>
          </cell>
          <cell r="B18">
            <v>0</v>
          </cell>
          <cell r="C18">
            <v>2.15</v>
          </cell>
          <cell r="D18">
            <v>1.0349999999999999</v>
          </cell>
        </row>
        <row r="19">
          <cell r="A19">
            <v>35643</v>
          </cell>
          <cell r="B19">
            <v>60000</v>
          </cell>
          <cell r="C19">
            <v>2.35</v>
          </cell>
          <cell r="D19">
            <v>1.0349999999999999</v>
          </cell>
        </row>
        <row r="20">
          <cell r="A20">
            <v>35674</v>
          </cell>
          <cell r="B20">
            <v>60000</v>
          </cell>
          <cell r="C20">
            <v>2.35</v>
          </cell>
          <cell r="D20">
            <v>1.0349999999999999</v>
          </cell>
        </row>
        <row r="21">
          <cell r="A21">
            <v>35704</v>
          </cell>
          <cell r="B21">
            <v>60000</v>
          </cell>
          <cell r="C21">
            <v>2.5499999999999998</v>
          </cell>
          <cell r="D21">
            <v>1.0349999999999999</v>
          </cell>
        </row>
        <row r="22">
          <cell r="A22">
            <v>35735</v>
          </cell>
          <cell r="B22">
            <v>100000</v>
          </cell>
          <cell r="C22">
            <v>3.65</v>
          </cell>
          <cell r="D22">
            <v>1.0349999999999999</v>
          </cell>
        </row>
        <row r="23">
          <cell r="A23">
            <v>35765</v>
          </cell>
          <cell r="B23">
            <v>105000</v>
          </cell>
          <cell r="C23">
            <v>3.98</v>
          </cell>
          <cell r="D23">
            <v>1.0349999999999999</v>
          </cell>
        </row>
        <row r="24">
          <cell r="A24">
            <v>35796</v>
          </cell>
          <cell r="B24">
            <v>248000</v>
          </cell>
          <cell r="C24">
            <v>3.48</v>
          </cell>
          <cell r="D24">
            <v>1.0349999999999999</v>
          </cell>
        </row>
        <row r="25">
          <cell r="A25">
            <v>35827</v>
          </cell>
          <cell r="B25">
            <v>224000</v>
          </cell>
          <cell r="C25">
            <v>2.5</v>
          </cell>
          <cell r="D25">
            <v>1.0349999999999999</v>
          </cell>
        </row>
        <row r="26">
          <cell r="A26">
            <v>35855</v>
          </cell>
          <cell r="B26">
            <v>224000</v>
          </cell>
          <cell r="C26">
            <v>2.23</v>
          </cell>
          <cell r="D26">
            <v>1.0349999999999999</v>
          </cell>
        </row>
        <row r="27">
          <cell r="A27">
            <v>35886</v>
          </cell>
          <cell r="B27">
            <v>75000</v>
          </cell>
          <cell r="C27">
            <v>2.2599999999999998</v>
          </cell>
          <cell r="D27">
            <v>1.0349999999999999</v>
          </cell>
        </row>
        <row r="28">
          <cell r="A28">
            <v>35916</v>
          </cell>
          <cell r="B28">
            <v>62000</v>
          </cell>
          <cell r="C28">
            <v>2.41</v>
          </cell>
          <cell r="D28">
            <v>1.0349999999999999</v>
          </cell>
        </row>
        <row r="29">
          <cell r="A29">
            <v>35947</v>
          </cell>
          <cell r="B29">
            <v>66000</v>
          </cell>
          <cell r="C29">
            <v>2.4</v>
          </cell>
          <cell r="D29">
            <v>1.0349999999999999</v>
          </cell>
        </row>
        <row r="30">
          <cell r="A30">
            <v>35977</v>
          </cell>
          <cell r="B30">
            <v>62000</v>
          </cell>
          <cell r="C30">
            <v>2.2999999999999998</v>
          </cell>
          <cell r="D30">
            <v>1.0349999999999999</v>
          </cell>
        </row>
        <row r="31">
          <cell r="A31">
            <v>36008</v>
          </cell>
          <cell r="B31">
            <v>62000</v>
          </cell>
          <cell r="C31">
            <v>2.4500000000000002</v>
          </cell>
          <cell r="D31">
            <v>1.0349999999999999</v>
          </cell>
        </row>
        <row r="32">
          <cell r="A32">
            <v>36039</v>
          </cell>
          <cell r="B32">
            <v>60000</v>
          </cell>
          <cell r="C32">
            <v>2.15</v>
          </cell>
          <cell r="D32">
            <v>1.0349999999999999</v>
          </cell>
        </row>
        <row r="33">
          <cell r="A33">
            <v>36069</v>
          </cell>
          <cell r="B33">
            <v>59969</v>
          </cell>
          <cell r="C33">
            <v>2.15</v>
          </cell>
          <cell r="D33">
            <v>1.0349999999999999</v>
          </cell>
        </row>
        <row r="34">
          <cell r="A34">
            <v>36100</v>
          </cell>
          <cell r="B34">
            <v>111307</v>
          </cell>
          <cell r="C34">
            <v>2.5099999999999998</v>
          </cell>
          <cell r="D34">
            <v>1.0349999999999999</v>
          </cell>
        </row>
        <row r="35">
          <cell r="A35">
            <v>36130</v>
          </cell>
          <cell r="B35">
            <v>173260</v>
          </cell>
          <cell r="C35">
            <v>2.37</v>
          </cell>
          <cell r="D35">
            <v>1.0349999999999999</v>
          </cell>
        </row>
        <row r="36">
          <cell r="A36">
            <v>36161</v>
          </cell>
          <cell r="B36">
            <v>209000</v>
          </cell>
          <cell r="C36">
            <v>2.25</v>
          </cell>
          <cell r="D36">
            <v>1.0349999999999999</v>
          </cell>
        </row>
        <row r="37">
          <cell r="A37">
            <v>36192</v>
          </cell>
          <cell r="B37">
            <v>208368</v>
          </cell>
          <cell r="C37">
            <v>1.81</v>
          </cell>
          <cell r="D37">
            <v>1.0349999999999999</v>
          </cell>
        </row>
        <row r="38">
          <cell r="A38">
            <v>36220</v>
          </cell>
          <cell r="B38">
            <v>192832</v>
          </cell>
          <cell r="C38">
            <v>1.77</v>
          </cell>
          <cell r="D38">
            <v>1.0349999999999999</v>
          </cell>
        </row>
        <row r="39">
          <cell r="A39">
            <v>36251</v>
          </cell>
          <cell r="B39">
            <v>75000</v>
          </cell>
          <cell r="C39">
            <v>1.75</v>
          </cell>
          <cell r="D39">
            <v>1.0349999999999999</v>
          </cell>
        </row>
        <row r="40">
          <cell r="A40">
            <v>36281</v>
          </cell>
          <cell r="B40">
            <v>66000</v>
          </cell>
          <cell r="C40">
            <v>1.66</v>
          </cell>
          <cell r="D40">
            <v>1.0349999999999999</v>
          </cell>
        </row>
        <row r="41">
          <cell r="A41">
            <v>36312</v>
          </cell>
          <cell r="B41">
            <v>63000</v>
          </cell>
          <cell r="C41">
            <v>2.0499999999999998</v>
          </cell>
          <cell r="D41">
            <v>1.0349999999999999</v>
          </cell>
        </row>
        <row r="42">
          <cell r="A42">
            <v>36342</v>
          </cell>
          <cell r="B42">
            <v>52000</v>
          </cell>
          <cell r="C42">
            <v>2.34</v>
          </cell>
          <cell r="D42">
            <v>1.0349999999999999</v>
          </cell>
        </row>
        <row r="43">
          <cell r="A43">
            <v>36373</v>
          </cell>
          <cell r="B43">
            <v>55000</v>
          </cell>
          <cell r="C43">
            <v>2.1500000000000004</v>
          </cell>
          <cell r="D43">
            <v>1.0349999999999999</v>
          </cell>
        </row>
        <row r="44">
          <cell r="A44">
            <v>36404</v>
          </cell>
          <cell r="B44">
            <v>52000</v>
          </cell>
          <cell r="C44">
            <v>2.1500000000000004</v>
          </cell>
          <cell r="D44">
            <v>1.0349999999999999</v>
          </cell>
        </row>
        <row r="45">
          <cell r="A45">
            <v>36434</v>
          </cell>
          <cell r="B45">
            <v>59969</v>
          </cell>
          <cell r="C45">
            <v>2.4</v>
          </cell>
          <cell r="D45">
            <v>1.0349999999999999</v>
          </cell>
        </row>
        <row r="46">
          <cell r="A46">
            <v>36465</v>
          </cell>
          <cell r="B46">
            <v>120000</v>
          </cell>
          <cell r="C46">
            <v>2.75</v>
          </cell>
          <cell r="D46">
            <v>1.0349999999999999</v>
          </cell>
        </row>
        <row r="47">
          <cell r="A47">
            <v>36495</v>
          </cell>
          <cell r="B47">
            <v>186000</v>
          </cell>
          <cell r="C47">
            <v>2.75</v>
          </cell>
          <cell r="D47">
            <v>1.0349999999999999</v>
          </cell>
        </row>
        <row r="48">
          <cell r="A48">
            <v>36526</v>
          </cell>
          <cell r="B48">
            <v>186000</v>
          </cell>
          <cell r="C48">
            <v>2.5750000000000002</v>
          </cell>
          <cell r="D48">
            <v>1.0349999999999999</v>
          </cell>
        </row>
        <row r="49">
          <cell r="A49">
            <v>36557</v>
          </cell>
          <cell r="B49">
            <v>174000</v>
          </cell>
          <cell r="C49">
            <v>2.75</v>
          </cell>
          <cell r="D49">
            <v>1.0349999999999999</v>
          </cell>
        </row>
        <row r="50">
          <cell r="A50">
            <v>36586</v>
          </cell>
          <cell r="B50">
            <v>124000</v>
          </cell>
          <cell r="C50">
            <v>2.75</v>
          </cell>
          <cell r="D50">
            <v>1.0349999999999999</v>
          </cell>
        </row>
        <row r="51">
          <cell r="A51">
            <v>36617</v>
          </cell>
          <cell r="B51">
            <v>60000</v>
          </cell>
          <cell r="C51">
            <v>2.75</v>
          </cell>
          <cell r="D51">
            <v>1.0349999999999999</v>
          </cell>
        </row>
        <row r="52">
          <cell r="A52">
            <v>36647</v>
          </cell>
          <cell r="B52">
            <v>60000</v>
          </cell>
          <cell r="C52">
            <v>2.84</v>
          </cell>
          <cell r="D52">
            <v>1.0349999999999999</v>
          </cell>
        </row>
        <row r="53">
          <cell r="A53">
            <v>36678</v>
          </cell>
          <cell r="B53">
            <v>60000</v>
          </cell>
          <cell r="C53">
            <v>2.84</v>
          </cell>
          <cell r="D53">
            <v>1.0349999999999999</v>
          </cell>
        </row>
        <row r="54">
          <cell r="A54">
            <v>36708</v>
          </cell>
          <cell r="B54">
            <v>50000</v>
          </cell>
          <cell r="C54">
            <v>3.27</v>
          </cell>
          <cell r="D54">
            <v>1.0349999999999999</v>
          </cell>
        </row>
        <row r="55">
          <cell r="A55">
            <v>36739</v>
          </cell>
          <cell r="B55">
            <v>50000</v>
          </cell>
          <cell r="C55">
            <v>4.2300000000000004</v>
          </cell>
          <cell r="D55">
            <v>1.0349999999999999</v>
          </cell>
        </row>
        <row r="56">
          <cell r="A56">
            <v>36770</v>
          </cell>
          <cell r="B56">
            <v>50000</v>
          </cell>
          <cell r="C56">
            <v>4.2300000000000004</v>
          </cell>
          <cell r="D56">
            <v>1.0349999999999999</v>
          </cell>
        </row>
        <row r="57">
          <cell r="A57">
            <v>36800</v>
          </cell>
          <cell r="B57">
            <v>60000</v>
          </cell>
          <cell r="C57">
            <v>4.8</v>
          </cell>
          <cell r="D57">
            <v>1.0349999999999999</v>
          </cell>
        </row>
        <row r="58">
          <cell r="A58">
            <v>36831</v>
          </cell>
          <cell r="B58">
            <v>120000</v>
          </cell>
          <cell r="C58">
            <v>5.4</v>
          </cell>
          <cell r="D58">
            <v>1.0349999999999999</v>
          </cell>
        </row>
        <row r="59">
          <cell r="A59">
            <v>36861</v>
          </cell>
          <cell r="B59">
            <v>186000</v>
          </cell>
          <cell r="C59">
            <v>5.4</v>
          </cell>
          <cell r="D59">
            <v>1.0349999999999999</v>
          </cell>
        </row>
        <row r="60">
          <cell r="A60">
            <v>36892</v>
          </cell>
          <cell r="B60">
            <v>186000</v>
          </cell>
          <cell r="C60">
            <v>5.4</v>
          </cell>
          <cell r="D60">
            <v>1.0349999999999999</v>
          </cell>
        </row>
        <row r="61">
          <cell r="A61">
            <v>36923</v>
          </cell>
          <cell r="B61">
            <v>174000</v>
          </cell>
          <cell r="C61">
            <v>7.42</v>
          </cell>
          <cell r="D61">
            <v>1.0349999999999999</v>
          </cell>
        </row>
        <row r="62">
          <cell r="A62">
            <v>36951</v>
          </cell>
          <cell r="B62">
            <v>124000</v>
          </cell>
          <cell r="C62">
            <v>6</v>
          </cell>
          <cell r="D62">
            <v>1.0349999999999999</v>
          </cell>
        </row>
        <row r="63">
          <cell r="A63">
            <v>36982</v>
          </cell>
          <cell r="B63">
            <v>60000</v>
          </cell>
          <cell r="C63">
            <v>5.41</v>
          </cell>
          <cell r="D63">
            <v>1.0349999999999999</v>
          </cell>
        </row>
        <row r="64">
          <cell r="A64">
            <v>37012</v>
          </cell>
          <cell r="B64">
            <v>60000</v>
          </cell>
          <cell r="C64">
            <v>5.24</v>
          </cell>
          <cell r="D64">
            <v>1.0349999999999999</v>
          </cell>
        </row>
        <row r="65">
          <cell r="A65">
            <v>37043</v>
          </cell>
          <cell r="B65">
            <v>60000</v>
          </cell>
          <cell r="C65">
            <v>5.09</v>
          </cell>
          <cell r="D65">
            <v>1.0349999999999999</v>
          </cell>
        </row>
        <row r="66">
          <cell r="A66">
            <v>37073</v>
          </cell>
          <cell r="B66">
            <v>50000</v>
          </cell>
          <cell r="C66">
            <v>4.0599999999999996</v>
          </cell>
          <cell r="D66">
            <v>1.0349999999999999</v>
          </cell>
        </row>
        <row r="67">
          <cell r="A67">
            <v>37104</v>
          </cell>
          <cell r="B67">
            <v>50000</v>
          </cell>
          <cell r="C67">
            <v>3.89</v>
          </cell>
          <cell r="D67">
            <v>1.0349999999999999</v>
          </cell>
        </row>
        <row r="68">
          <cell r="A68">
            <v>37196</v>
          </cell>
          <cell r="B68">
            <v>492000</v>
          </cell>
          <cell r="C68">
            <v>3.23</v>
          </cell>
          <cell r="D68">
            <v>1.0349999999999999</v>
          </cell>
        </row>
        <row r="69">
          <cell r="A69">
            <v>37288</v>
          </cell>
          <cell r="B69">
            <v>342100</v>
          </cell>
          <cell r="C69">
            <v>3</v>
          </cell>
          <cell r="D69">
            <v>1.0349999999999999</v>
          </cell>
        </row>
        <row r="70">
          <cell r="A70">
            <v>37377</v>
          </cell>
          <cell r="B70">
            <v>168500</v>
          </cell>
          <cell r="C70">
            <v>3.3090000000000002</v>
          </cell>
          <cell r="D70">
            <v>1.0349999999999999</v>
          </cell>
        </row>
        <row r="71">
          <cell r="A71">
            <v>37469</v>
          </cell>
          <cell r="B71">
            <v>171600</v>
          </cell>
          <cell r="C71">
            <v>3.28</v>
          </cell>
          <cell r="D71">
            <v>1.0349999999999999</v>
          </cell>
        </row>
        <row r="72">
          <cell r="A72">
            <v>37561</v>
          </cell>
          <cell r="B72">
            <v>399000</v>
          </cell>
          <cell r="C72">
            <v>3.7610000000000001</v>
          </cell>
          <cell r="D72">
            <v>1.0349999999999999</v>
          </cell>
        </row>
        <row r="73">
          <cell r="A73">
            <v>37653</v>
          </cell>
          <cell r="B73">
            <v>262000</v>
          </cell>
          <cell r="C73">
            <v>4.1559999999999997</v>
          </cell>
          <cell r="D73">
            <v>1.0349999999999999</v>
          </cell>
        </row>
        <row r="74">
          <cell r="A74">
            <v>37712</v>
          </cell>
          <cell r="B74">
            <v>60000</v>
          </cell>
          <cell r="C74">
            <v>6.0359999999999996</v>
          </cell>
          <cell r="D74">
            <v>1.0349999999999999</v>
          </cell>
        </row>
        <row r="75">
          <cell r="A75">
            <v>37742</v>
          </cell>
          <cell r="B75">
            <v>184000</v>
          </cell>
          <cell r="C75">
            <v>5.0979999999999999</v>
          </cell>
          <cell r="D75">
            <v>1.0349999999999999</v>
          </cell>
        </row>
        <row r="76">
          <cell r="A76">
            <v>37834</v>
          </cell>
          <cell r="B76">
            <v>184000</v>
          </cell>
          <cell r="C76">
            <v>5.7990000000000004</v>
          </cell>
          <cell r="D76">
            <v>1.0349999999999999</v>
          </cell>
        </row>
        <row r="77">
          <cell r="A77">
            <v>37926</v>
          </cell>
          <cell r="B77">
            <v>400000</v>
          </cell>
          <cell r="C77">
            <v>5.234</v>
          </cell>
          <cell r="D77">
            <v>1.0349999999999999</v>
          </cell>
        </row>
        <row r="78">
          <cell r="A78">
            <v>38018</v>
          </cell>
          <cell r="B78">
            <v>249000</v>
          </cell>
          <cell r="C78">
            <v>5.5650000000000004</v>
          </cell>
          <cell r="D78">
            <v>1.0349999999999999</v>
          </cell>
        </row>
        <row r="79">
          <cell r="A79">
            <v>38108</v>
          </cell>
          <cell r="B79">
            <v>184000</v>
          </cell>
          <cell r="C79">
            <v>5.5229999999999997</v>
          </cell>
          <cell r="D79">
            <v>1.0349999999999999</v>
          </cell>
        </row>
        <row r="80">
          <cell r="A80">
            <v>38200</v>
          </cell>
          <cell r="B80">
            <v>184000</v>
          </cell>
          <cell r="C80">
            <v>6.4210000000000003</v>
          </cell>
          <cell r="D80">
            <v>1.0349999999999999</v>
          </cell>
        </row>
        <row r="81">
          <cell r="A81">
            <v>38292</v>
          </cell>
          <cell r="B81">
            <v>400000</v>
          </cell>
          <cell r="C81">
            <v>6.3070000000000004</v>
          </cell>
          <cell r="D81">
            <v>1.0349999999999999</v>
          </cell>
        </row>
        <row r="82">
          <cell r="A82">
            <v>38384</v>
          </cell>
          <cell r="B82">
            <v>249000</v>
          </cell>
          <cell r="C82">
            <v>6.3168629726635404</v>
          </cell>
          <cell r="D82">
            <v>1.0349999999999999</v>
          </cell>
        </row>
        <row r="83">
          <cell r="A83">
            <v>38473</v>
          </cell>
          <cell r="B83">
            <v>184000</v>
          </cell>
          <cell r="C83">
            <v>7.6529999999999996</v>
          </cell>
          <cell r="D83">
            <v>1.0349999999999999</v>
          </cell>
        </row>
        <row r="84">
          <cell r="A84">
            <v>38657</v>
          </cell>
          <cell r="B84">
            <v>400000</v>
          </cell>
          <cell r="C84">
            <v>9.5749999999999993</v>
          </cell>
          <cell r="D84">
            <v>1.0349999999999999</v>
          </cell>
        </row>
        <row r="85">
          <cell r="A85">
            <v>38749</v>
          </cell>
          <cell r="B85">
            <v>249000</v>
          </cell>
          <cell r="C85">
            <v>12.723000000000001</v>
          </cell>
          <cell r="D85">
            <v>1.0349999999999999</v>
          </cell>
        </row>
        <row r="86">
          <cell r="A86">
            <v>38838</v>
          </cell>
          <cell r="B86" t="e">
            <v>#REF!</v>
          </cell>
          <cell r="C86">
            <v>7.194</v>
          </cell>
          <cell r="D86">
            <v>1.0349999999999999</v>
          </cell>
        </row>
        <row r="87">
          <cell r="A87">
            <v>38930</v>
          </cell>
          <cell r="B87" t="e">
            <v>#REF!</v>
          </cell>
          <cell r="C87">
            <v>7.218</v>
          </cell>
          <cell r="D87">
            <v>1.0349999999999999</v>
          </cell>
        </row>
        <row r="88">
          <cell r="A88">
            <v>39022</v>
          </cell>
          <cell r="B88" t="e">
            <v>#REF!</v>
          </cell>
          <cell r="C88">
            <v>8.5809999999999995</v>
          </cell>
          <cell r="D88">
            <v>1.0349999999999999</v>
          </cell>
        </row>
        <row r="89">
          <cell r="A89">
            <v>39114</v>
          </cell>
          <cell r="B89">
            <v>219500</v>
          </cell>
          <cell r="C89">
            <v>6.5910000000000002</v>
          </cell>
          <cell r="D89">
            <v>1.0349999999999999</v>
          </cell>
        </row>
        <row r="90">
          <cell r="A90">
            <v>54789</v>
          </cell>
        </row>
      </sheetData>
      <sheetData sheetId="10">
        <row r="9">
          <cell r="A9">
            <v>34274</v>
          </cell>
          <cell r="B9" t="str">
            <v>N0210</v>
          </cell>
          <cell r="C9" t="str">
            <v>No Notice</v>
          </cell>
          <cell r="D9" t="str">
            <v>Texas Gas</v>
          </cell>
          <cell r="E9">
            <v>2</v>
          </cell>
          <cell r="F9">
            <v>37195</v>
          </cell>
          <cell r="G9">
            <v>45500</v>
          </cell>
          <cell r="H9">
            <v>45500</v>
          </cell>
          <cell r="I9">
            <v>45500</v>
          </cell>
          <cell r="J9">
            <v>36367</v>
          </cell>
          <cell r="K9">
            <v>22292</v>
          </cell>
          <cell r="L9">
            <v>22292</v>
          </cell>
          <cell r="M9">
            <v>22292</v>
          </cell>
          <cell r="N9">
            <v>22292</v>
          </cell>
          <cell r="O9">
            <v>22292</v>
          </cell>
          <cell r="P9">
            <v>40177</v>
          </cell>
          <cell r="Q9">
            <v>45500</v>
          </cell>
          <cell r="R9">
            <v>45500</v>
          </cell>
          <cell r="T9">
            <v>1410500</v>
          </cell>
          <cell r="U9">
            <v>1274000</v>
          </cell>
          <cell r="V9">
            <v>1410500</v>
          </cell>
          <cell r="W9">
            <v>1091010</v>
          </cell>
          <cell r="X9">
            <v>691052</v>
          </cell>
          <cell r="Y9">
            <v>668760</v>
          </cell>
          <cell r="Z9">
            <v>691052</v>
          </cell>
          <cell r="AA9">
            <v>691052</v>
          </cell>
          <cell r="AB9">
            <v>668760</v>
          </cell>
          <cell r="AC9">
            <v>1245487</v>
          </cell>
          <cell r="AD9">
            <v>1365000</v>
          </cell>
          <cell r="AE9">
            <v>1410500</v>
          </cell>
          <cell r="AF9">
            <v>12617673</v>
          </cell>
        </row>
        <row r="10">
          <cell r="A10">
            <v>43831</v>
          </cell>
        </row>
      </sheetData>
      <sheetData sheetId="11">
        <row r="9">
          <cell r="A9">
            <v>34274</v>
          </cell>
          <cell r="B9" t="str">
            <v>N0340</v>
          </cell>
          <cell r="C9" t="str">
            <v>No Notice</v>
          </cell>
          <cell r="D9" t="str">
            <v>Texas Gas</v>
          </cell>
          <cell r="E9">
            <v>3</v>
          </cell>
          <cell r="F9">
            <v>37195</v>
          </cell>
          <cell r="G9">
            <v>81000</v>
          </cell>
          <cell r="H9">
            <v>81000</v>
          </cell>
          <cell r="I9">
            <v>81000</v>
          </cell>
          <cell r="J9">
            <v>81000</v>
          </cell>
          <cell r="K9">
            <v>67375</v>
          </cell>
          <cell r="L9">
            <v>67375</v>
          </cell>
          <cell r="M9">
            <v>67375</v>
          </cell>
          <cell r="N9">
            <v>67375</v>
          </cell>
          <cell r="O9">
            <v>67375</v>
          </cell>
          <cell r="P9">
            <v>81000</v>
          </cell>
          <cell r="Q9">
            <v>81000</v>
          </cell>
          <cell r="R9">
            <v>81000</v>
          </cell>
          <cell r="T9">
            <v>2511000</v>
          </cell>
          <cell r="U9">
            <v>2268000</v>
          </cell>
          <cell r="V9">
            <v>2511000</v>
          </cell>
          <cell r="W9">
            <v>2430000</v>
          </cell>
          <cell r="X9">
            <v>2088625</v>
          </cell>
          <cell r="Y9">
            <v>2021250</v>
          </cell>
          <cell r="Z9">
            <v>2088625</v>
          </cell>
          <cell r="AA9">
            <v>2088625</v>
          </cell>
          <cell r="AB9">
            <v>2021250</v>
          </cell>
          <cell r="AC9">
            <v>2511000</v>
          </cell>
          <cell r="AD9">
            <v>2430000</v>
          </cell>
          <cell r="AE9">
            <v>2511000</v>
          </cell>
          <cell r="AF9">
            <v>27480375</v>
          </cell>
        </row>
        <row r="10">
          <cell r="A10">
            <v>43831</v>
          </cell>
        </row>
      </sheetData>
      <sheetData sheetId="12">
        <row r="9">
          <cell r="A9">
            <v>34274</v>
          </cell>
          <cell r="B9" t="str">
            <v>N0410</v>
          </cell>
          <cell r="C9" t="str">
            <v>No Notice</v>
          </cell>
          <cell r="D9" t="str">
            <v>Texas Gas</v>
          </cell>
          <cell r="E9">
            <v>4</v>
          </cell>
          <cell r="F9">
            <v>37195</v>
          </cell>
          <cell r="G9">
            <v>13500</v>
          </cell>
          <cell r="H9">
            <v>13500</v>
          </cell>
          <cell r="I9">
            <v>13500</v>
          </cell>
          <cell r="J9">
            <v>8838</v>
          </cell>
          <cell r="K9">
            <v>4625</v>
          </cell>
          <cell r="L9">
            <v>4625</v>
          </cell>
          <cell r="M9">
            <v>4625</v>
          </cell>
          <cell r="N9">
            <v>4625</v>
          </cell>
          <cell r="O9">
            <v>4625</v>
          </cell>
          <cell r="P9">
            <v>9984</v>
          </cell>
          <cell r="Q9">
            <v>13500</v>
          </cell>
          <cell r="R9">
            <v>13500</v>
          </cell>
          <cell r="T9">
            <v>418500</v>
          </cell>
          <cell r="U9">
            <v>378000</v>
          </cell>
          <cell r="V9">
            <v>418500</v>
          </cell>
          <cell r="W9">
            <v>265140</v>
          </cell>
          <cell r="X9">
            <v>143375</v>
          </cell>
          <cell r="Y9">
            <v>138750</v>
          </cell>
          <cell r="Z9">
            <v>143375</v>
          </cell>
          <cell r="AA9">
            <v>143375</v>
          </cell>
          <cell r="AB9">
            <v>138750</v>
          </cell>
          <cell r="AC9">
            <v>309504</v>
          </cell>
          <cell r="AD9">
            <v>405000</v>
          </cell>
          <cell r="AE9">
            <v>418500</v>
          </cell>
          <cell r="AF9">
            <v>3320769</v>
          </cell>
        </row>
        <row r="10">
          <cell r="A10">
            <v>43831</v>
          </cell>
        </row>
      </sheetData>
      <sheetData sheetId="13">
        <row r="9">
          <cell r="A9">
            <v>34274</v>
          </cell>
          <cell r="B9" t="str">
            <v>3770</v>
          </cell>
          <cell r="C9" t="str">
            <v>FT</v>
          </cell>
          <cell r="D9" t="str">
            <v>Texas Gas</v>
          </cell>
          <cell r="E9">
            <v>2</v>
          </cell>
          <cell r="F9">
            <v>35369</v>
          </cell>
          <cell r="G9">
            <v>3000</v>
          </cell>
          <cell r="H9">
            <v>3000</v>
          </cell>
          <cell r="I9">
            <v>3000</v>
          </cell>
          <cell r="J9">
            <v>3000</v>
          </cell>
          <cell r="K9">
            <v>3000</v>
          </cell>
          <cell r="L9">
            <v>3000</v>
          </cell>
          <cell r="M9">
            <v>3000</v>
          </cell>
          <cell r="N9">
            <v>3000</v>
          </cell>
          <cell r="O9">
            <v>3000</v>
          </cell>
          <cell r="P9">
            <v>3000</v>
          </cell>
          <cell r="Q9">
            <v>3000</v>
          </cell>
          <cell r="R9">
            <v>3000</v>
          </cell>
          <cell r="S9">
            <v>3000</v>
          </cell>
          <cell r="T9">
            <v>93000</v>
          </cell>
          <cell r="U9">
            <v>84000</v>
          </cell>
          <cell r="V9">
            <v>93000</v>
          </cell>
          <cell r="W9">
            <v>90000</v>
          </cell>
          <cell r="X9">
            <v>93000</v>
          </cell>
          <cell r="Y9">
            <v>90000</v>
          </cell>
          <cell r="Z9">
            <v>93000</v>
          </cell>
          <cell r="AA9">
            <v>93000</v>
          </cell>
          <cell r="AB9">
            <v>90000</v>
          </cell>
          <cell r="AC9">
            <v>93000</v>
          </cell>
          <cell r="AD9">
            <v>90000</v>
          </cell>
          <cell r="AE9">
            <v>93000</v>
          </cell>
          <cell r="AF9">
            <v>1095000</v>
          </cell>
        </row>
        <row r="10">
          <cell r="A10">
            <v>43831</v>
          </cell>
        </row>
      </sheetData>
      <sheetData sheetId="14">
        <row r="9">
          <cell r="A9">
            <v>34274</v>
          </cell>
          <cell r="B9" t="str">
            <v>3817</v>
          </cell>
          <cell r="C9" t="str">
            <v>FT</v>
          </cell>
          <cell r="D9" t="str">
            <v>Texas Gas</v>
          </cell>
          <cell r="E9">
            <v>2</v>
          </cell>
          <cell r="F9">
            <v>35369</v>
          </cell>
          <cell r="G9">
            <v>2428</v>
          </cell>
          <cell r="H9">
            <v>2428</v>
          </cell>
          <cell r="I9">
            <v>2428</v>
          </cell>
          <cell r="J9">
            <v>2428</v>
          </cell>
          <cell r="K9">
            <v>2428</v>
          </cell>
          <cell r="L9">
            <v>2428</v>
          </cell>
          <cell r="M9">
            <v>2428</v>
          </cell>
          <cell r="N9">
            <v>2428</v>
          </cell>
          <cell r="O9">
            <v>2428</v>
          </cell>
          <cell r="P9">
            <v>2428</v>
          </cell>
          <cell r="Q9">
            <v>2428</v>
          </cell>
          <cell r="R9">
            <v>2428</v>
          </cell>
          <cell r="T9">
            <v>75268</v>
          </cell>
          <cell r="U9">
            <v>67984</v>
          </cell>
          <cell r="V9">
            <v>75268</v>
          </cell>
          <cell r="W9">
            <v>72840</v>
          </cell>
          <cell r="X9">
            <v>75268</v>
          </cell>
          <cell r="Y9">
            <v>72840</v>
          </cell>
          <cell r="Z9">
            <v>75268</v>
          </cell>
          <cell r="AA9">
            <v>75268</v>
          </cell>
          <cell r="AB9">
            <v>72840</v>
          </cell>
          <cell r="AC9">
            <v>75268</v>
          </cell>
          <cell r="AD9">
            <v>72840</v>
          </cell>
          <cell r="AE9">
            <v>75268</v>
          </cell>
          <cell r="AF9">
            <v>886220</v>
          </cell>
        </row>
        <row r="10">
          <cell r="A10">
            <v>43831</v>
          </cell>
        </row>
      </sheetData>
      <sheetData sheetId="15">
        <row r="9">
          <cell r="A9">
            <v>34274</v>
          </cell>
          <cell r="B9" t="str">
            <v>3355</v>
          </cell>
          <cell r="C9" t="str">
            <v>FT</v>
          </cell>
          <cell r="D9" t="str">
            <v>Texas Gas</v>
          </cell>
          <cell r="E9">
            <v>3</v>
          </cell>
          <cell r="F9">
            <v>35369</v>
          </cell>
          <cell r="G9">
            <v>10105</v>
          </cell>
          <cell r="H9">
            <v>10105</v>
          </cell>
          <cell r="I9">
            <v>10105</v>
          </cell>
          <cell r="J9">
            <v>10105</v>
          </cell>
          <cell r="K9">
            <v>10105</v>
          </cell>
          <cell r="L9">
            <v>10105</v>
          </cell>
          <cell r="M9">
            <v>10105</v>
          </cell>
          <cell r="N9">
            <v>10105</v>
          </cell>
          <cell r="O9">
            <v>10105</v>
          </cell>
          <cell r="P9">
            <v>10105</v>
          </cell>
          <cell r="Q9">
            <v>10105</v>
          </cell>
          <cell r="R9">
            <v>10105</v>
          </cell>
          <cell r="T9">
            <v>313255</v>
          </cell>
          <cell r="U9">
            <v>282940</v>
          </cell>
          <cell r="V9">
            <v>313255</v>
          </cell>
          <cell r="W9">
            <v>303150</v>
          </cell>
          <cell r="X9">
            <v>313255</v>
          </cell>
          <cell r="Y9">
            <v>303150</v>
          </cell>
          <cell r="Z9">
            <v>313255</v>
          </cell>
          <cell r="AA9">
            <v>313255</v>
          </cell>
          <cell r="AB9">
            <v>303150</v>
          </cell>
          <cell r="AC9">
            <v>313255</v>
          </cell>
          <cell r="AD9">
            <v>303150</v>
          </cell>
          <cell r="AE9">
            <v>313255</v>
          </cell>
          <cell r="AF9">
            <v>3688325</v>
          </cell>
        </row>
        <row r="10">
          <cell r="A10">
            <v>34700</v>
          </cell>
          <cell r="B10" t="str">
            <v>3355</v>
          </cell>
          <cell r="C10" t="str">
            <v>FT</v>
          </cell>
          <cell r="D10" t="str">
            <v>Texas Gas</v>
          </cell>
          <cell r="E10">
            <v>3</v>
          </cell>
          <cell r="F10">
            <v>35369</v>
          </cell>
          <cell r="G10">
            <v>6819</v>
          </cell>
          <cell r="H10">
            <v>6819</v>
          </cell>
          <cell r="I10">
            <v>6819</v>
          </cell>
          <cell r="J10">
            <v>6819</v>
          </cell>
          <cell r="K10">
            <v>6819</v>
          </cell>
          <cell r="L10">
            <v>6819</v>
          </cell>
          <cell r="M10">
            <v>6819</v>
          </cell>
          <cell r="N10">
            <v>6819</v>
          </cell>
          <cell r="O10">
            <v>6819</v>
          </cell>
          <cell r="P10">
            <v>6819</v>
          </cell>
          <cell r="Q10">
            <v>6819</v>
          </cell>
          <cell r="R10">
            <v>6819</v>
          </cell>
          <cell r="T10">
            <v>211389</v>
          </cell>
          <cell r="U10">
            <v>190932</v>
          </cell>
          <cell r="V10">
            <v>211389</v>
          </cell>
          <cell r="W10">
            <v>204570</v>
          </cell>
          <cell r="X10">
            <v>211389</v>
          </cell>
          <cell r="Y10">
            <v>204570</v>
          </cell>
          <cell r="Z10">
            <v>211389</v>
          </cell>
          <cell r="AA10">
            <v>211389</v>
          </cell>
          <cell r="AB10">
            <v>204570</v>
          </cell>
          <cell r="AC10">
            <v>211389</v>
          </cell>
          <cell r="AD10">
            <v>204570</v>
          </cell>
          <cell r="AE10">
            <v>211389</v>
          </cell>
          <cell r="AF10">
            <v>2488935</v>
          </cell>
        </row>
        <row r="11">
          <cell r="A11">
            <v>36557</v>
          </cell>
          <cell r="B11" t="str">
            <v>3355</v>
          </cell>
          <cell r="C11" t="str">
            <v>FT</v>
          </cell>
          <cell r="D11" t="str">
            <v>Texas Gas</v>
          </cell>
          <cell r="E11">
            <v>3</v>
          </cell>
          <cell r="F11">
            <v>37195</v>
          </cell>
          <cell r="G11">
            <v>8577</v>
          </cell>
          <cell r="H11">
            <v>8577</v>
          </cell>
          <cell r="I11">
            <v>8577</v>
          </cell>
          <cell r="J11">
            <v>8577</v>
          </cell>
          <cell r="K11">
            <v>8577</v>
          </cell>
          <cell r="L11">
            <v>8577</v>
          </cell>
          <cell r="M11">
            <v>8577</v>
          </cell>
          <cell r="N11">
            <v>8577</v>
          </cell>
          <cell r="O11">
            <v>8577</v>
          </cell>
          <cell r="P11">
            <v>8577</v>
          </cell>
          <cell r="Q11">
            <v>8577</v>
          </cell>
          <cell r="R11">
            <v>8577</v>
          </cell>
          <cell r="T11">
            <v>265887</v>
          </cell>
          <cell r="U11">
            <v>240156</v>
          </cell>
          <cell r="V11">
            <v>265887</v>
          </cell>
          <cell r="W11">
            <v>257310</v>
          </cell>
          <cell r="X11">
            <v>265887</v>
          </cell>
          <cell r="Y11">
            <v>257310</v>
          </cell>
          <cell r="Z11">
            <v>265887</v>
          </cell>
          <cell r="AA11">
            <v>265887</v>
          </cell>
          <cell r="AB11">
            <v>257310</v>
          </cell>
          <cell r="AC11">
            <v>265887</v>
          </cell>
          <cell r="AD11">
            <v>257310</v>
          </cell>
          <cell r="AE11">
            <v>265887</v>
          </cell>
          <cell r="AF11">
            <v>3130605</v>
          </cell>
        </row>
        <row r="12">
          <cell r="A12">
            <v>43831</v>
          </cell>
        </row>
      </sheetData>
      <sheetData sheetId="16">
        <row r="9">
          <cell r="A9">
            <v>34274</v>
          </cell>
          <cell r="B9" t="str">
            <v>3355.1</v>
          </cell>
          <cell r="C9" t="str">
            <v>FT</v>
          </cell>
          <cell r="D9" t="str">
            <v>Texas Gas</v>
          </cell>
          <cell r="E9">
            <v>3</v>
          </cell>
          <cell r="F9">
            <v>35369</v>
          </cell>
          <cell r="G9">
            <v>5106</v>
          </cell>
          <cell r="H9">
            <v>5106</v>
          </cell>
          <cell r="I9">
            <v>5106</v>
          </cell>
          <cell r="J9">
            <v>5106</v>
          </cell>
          <cell r="K9">
            <v>5106</v>
          </cell>
          <cell r="L9">
            <v>5106</v>
          </cell>
          <cell r="M9">
            <v>5106</v>
          </cell>
          <cell r="N9">
            <v>5106</v>
          </cell>
          <cell r="O9">
            <v>5106</v>
          </cell>
          <cell r="P9">
            <v>5106</v>
          </cell>
          <cell r="Q9">
            <v>5106</v>
          </cell>
          <cell r="R9">
            <v>5106</v>
          </cell>
          <cell r="T9">
            <v>158286</v>
          </cell>
          <cell r="U9">
            <v>142968</v>
          </cell>
          <cell r="V9">
            <v>158286</v>
          </cell>
          <cell r="W9">
            <v>153180</v>
          </cell>
          <cell r="X9">
            <v>158286</v>
          </cell>
          <cell r="Y9">
            <v>153180</v>
          </cell>
          <cell r="Z9">
            <v>158286</v>
          </cell>
          <cell r="AA9">
            <v>158286</v>
          </cell>
          <cell r="AB9">
            <v>153180</v>
          </cell>
          <cell r="AC9">
            <v>158286</v>
          </cell>
          <cell r="AD9">
            <v>153180</v>
          </cell>
          <cell r="AE9">
            <v>158286</v>
          </cell>
          <cell r="AF9">
            <v>1863690</v>
          </cell>
        </row>
        <row r="10">
          <cell r="A10">
            <v>36557</v>
          </cell>
          <cell r="B10" t="str">
            <v>3355.1</v>
          </cell>
          <cell r="C10" t="str">
            <v>FT</v>
          </cell>
          <cell r="D10" t="str">
            <v>Texas Gas</v>
          </cell>
          <cell r="E10">
            <v>3</v>
          </cell>
          <cell r="F10">
            <v>37195</v>
          </cell>
          <cell r="G10">
            <v>6423</v>
          </cell>
          <cell r="H10">
            <v>6423</v>
          </cell>
          <cell r="I10">
            <v>6423</v>
          </cell>
          <cell r="J10">
            <v>6423</v>
          </cell>
          <cell r="K10">
            <v>6423</v>
          </cell>
          <cell r="L10">
            <v>6423</v>
          </cell>
          <cell r="M10">
            <v>6423</v>
          </cell>
          <cell r="N10">
            <v>6423</v>
          </cell>
          <cell r="O10">
            <v>6423</v>
          </cell>
          <cell r="P10">
            <v>6423</v>
          </cell>
          <cell r="Q10">
            <v>6423</v>
          </cell>
          <cell r="R10">
            <v>6423</v>
          </cell>
          <cell r="T10">
            <v>199113</v>
          </cell>
          <cell r="U10">
            <v>179844</v>
          </cell>
          <cell r="V10">
            <v>199113</v>
          </cell>
          <cell r="W10">
            <v>192690</v>
          </cell>
          <cell r="X10">
            <v>199113</v>
          </cell>
          <cell r="Y10">
            <v>192690</v>
          </cell>
          <cell r="Z10">
            <v>199113</v>
          </cell>
          <cell r="AA10">
            <v>199113</v>
          </cell>
          <cell r="AB10">
            <v>192690</v>
          </cell>
          <cell r="AC10">
            <v>199113</v>
          </cell>
          <cell r="AD10">
            <v>192690</v>
          </cell>
          <cell r="AE10">
            <v>199113</v>
          </cell>
          <cell r="AF10">
            <v>2344395</v>
          </cell>
        </row>
        <row r="11">
          <cell r="A11">
            <v>43831</v>
          </cell>
        </row>
      </sheetData>
      <sheetData sheetId="17">
        <row r="9">
          <cell r="A9">
            <v>34274</v>
          </cell>
          <cell r="B9" t="str">
            <v>3819</v>
          </cell>
          <cell r="C9" t="str">
            <v>FT</v>
          </cell>
          <cell r="D9" t="str">
            <v>Texas Gas</v>
          </cell>
          <cell r="E9">
            <v>4</v>
          </cell>
          <cell r="F9">
            <v>37195</v>
          </cell>
          <cell r="G9">
            <v>3500</v>
          </cell>
          <cell r="H9">
            <v>3500</v>
          </cell>
          <cell r="I9">
            <v>3500</v>
          </cell>
          <cell r="J9">
            <v>3500</v>
          </cell>
          <cell r="K9">
            <v>3500</v>
          </cell>
          <cell r="L9">
            <v>3500</v>
          </cell>
          <cell r="M9">
            <v>3500</v>
          </cell>
          <cell r="N9">
            <v>3500</v>
          </cell>
          <cell r="O9">
            <v>3500</v>
          </cell>
          <cell r="P9">
            <v>3500</v>
          </cell>
          <cell r="Q9">
            <v>3500</v>
          </cell>
          <cell r="R9">
            <v>3500</v>
          </cell>
          <cell r="T9">
            <v>108500</v>
          </cell>
          <cell r="U9">
            <v>98000</v>
          </cell>
          <cell r="V9">
            <v>108500</v>
          </cell>
          <cell r="W9">
            <v>105000</v>
          </cell>
          <cell r="X9">
            <v>108500</v>
          </cell>
          <cell r="Y9">
            <v>105000</v>
          </cell>
          <cell r="Z9">
            <v>108500</v>
          </cell>
          <cell r="AA9">
            <v>108500</v>
          </cell>
          <cell r="AB9">
            <v>105000</v>
          </cell>
          <cell r="AC9">
            <v>108500</v>
          </cell>
          <cell r="AD9">
            <v>105000</v>
          </cell>
          <cell r="AE9">
            <v>108500</v>
          </cell>
          <cell r="AF9">
            <v>1277500</v>
          </cell>
        </row>
        <row r="10">
          <cell r="A10">
            <v>43831</v>
          </cell>
        </row>
      </sheetData>
      <sheetData sheetId="18">
        <row r="9">
          <cell r="A9">
            <v>35370</v>
          </cell>
          <cell r="B9" t="str">
            <v>9213</v>
          </cell>
          <cell r="C9" t="str">
            <v>FT</v>
          </cell>
          <cell r="D9" t="str">
            <v>Texas Gas</v>
          </cell>
          <cell r="E9">
            <v>3</v>
          </cell>
          <cell r="F9">
            <v>35735</v>
          </cell>
          <cell r="G9">
            <v>12000</v>
          </cell>
          <cell r="H9">
            <v>12000</v>
          </cell>
          <cell r="I9">
            <v>12000</v>
          </cell>
          <cell r="J9">
            <v>0</v>
          </cell>
          <cell r="K9">
            <v>0</v>
          </cell>
          <cell r="L9">
            <v>0</v>
          </cell>
          <cell r="M9">
            <v>0</v>
          </cell>
          <cell r="N9">
            <v>0</v>
          </cell>
          <cell r="O9">
            <v>0</v>
          </cell>
          <cell r="P9">
            <v>0</v>
          </cell>
          <cell r="Q9">
            <v>12000</v>
          </cell>
          <cell r="R9">
            <v>12000</v>
          </cell>
          <cell r="T9">
            <v>372000</v>
          </cell>
          <cell r="U9">
            <v>336000</v>
          </cell>
          <cell r="V9">
            <v>372000</v>
          </cell>
          <cell r="W9">
            <v>0</v>
          </cell>
          <cell r="X9">
            <v>0</v>
          </cell>
          <cell r="Y9">
            <v>0</v>
          </cell>
          <cell r="Z9">
            <v>0</v>
          </cell>
          <cell r="AA9">
            <v>0</v>
          </cell>
          <cell r="AB9">
            <v>0</v>
          </cell>
          <cell r="AC9">
            <v>0</v>
          </cell>
          <cell r="AD9">
            <v>360000</v>
          </cell>
          <cell r="AE9">
            <v>372000</v>
          </cell>
          <cell r="AF9">
            <v>1812000</v>
          </cell>
        </row>
        <row r="10">
          <cell r="A10">
            <v>43831</v>
          </cell>
        </row>
      </sheetData>
      <sheetData sheetId="19">
        <row r="8">
          <cell r="A8">
            <v>34274</v>
          </cell>
          <cell r="B8">
            <v>1504222</v>
          </cell>
        </row>
        <row r="9">
          <cell r="A9">
            <v>35370</v>
          </cell>
          <cell r="B9">
            <v>166841.97</v>
          </cell>
        </row>
        <row r="10">
          <cell r="A10">
            <v>36831</v>
          </cell>
          <cell r="B10">
            <v>0</v>
          </cell>
        </row>
        <row r="11">
          <cell r="A11">
            <v>54789</v>
          </cell>
        </row>
      </sheetData>
      <sheetData sheetId="20"/>
      <sheetData sheetId="21">
        <row r="10">
          <cell r="A10">
            <v>34274</v>
          </cell>
          <cell r="B10" t="str">
            <v>2546</v>
          </cell>
          <cell r="C10" t="str">
            <v>FT-G</v>
          </cell>
          <cell r="D10" t="str">
            <v>Tennessee</v>
          </cell>
          <cell r="E10" t="str">
            <v>Danville</v>
          </cell>
          <cell r="F10">
            <v>36831</v>
          </cell>
          <cell r="G10">
            <v>13529</v>
          </cell>
          <cell r="H10">
            <v>13529</v>
          </cell>
          <cell r="I10">
            <v>13529</v>
          </cell>
          <cell r="J10">
            <v>10229</v>
          </cell>
          <cell r="K10">
            <v>7236</v>
          </cell>
          <cell r="L10">
            <v>5160</v>
          </cell>
          <cell r="M10">
            <v>4703</v>
          </cell>
          <cell r="N10">
            <v>4730</v>
          </cell>
          <cell r="O10">
            <v>5259</v>
          </cell>
          <cell r="P10">
            <v>9192</v>
          </cell>
          <cell r="Q10">
            <v>13529</v>
          </cell>
          <cell r="R10">
            <v>13529</v>
          </cell>
          <cell r="T10">
            <v>114154</v>
          </cell>
        </row>
        <row r="11">
          <cell r="A11">
            <v>36557</v>
          </cell>
          <cell r="B11" t="str">
            <v>2546</v>
          </cell>
          <cell r="C11" t="str">
            <v>FT-G</v>
          </cell>
          <cell r="D11" t="str">
            <v>Tennessee</v>
          </cell>
          <cell r="E11" t="str">
            <v>Danville</v>
          </cell>
          <cell r="F11">
            <v>36831</v>
          </cell>
          <cell r="G11">
            <v>13483</v>
          </cell>
          <cell r="H11">
            <v>13483</v>
          </cell>
          <cell r="I11">
            <v>13483</v>
          </cell>
          <cell r="J11">
            <v>9887</v>
          </cell>
          <cell r="K11">
            <v>7191</v>
          </cell>
          <cell r="L11">
            <v>7191</v>
          </cell>
          <cell r="M11">
            <v>4944</v>
          </cell>
          <cell r="N11">
            <v>4944</v>
          </cell>
          <cell r="O11">
            <v>5393</v>
          </cell>
          <cell r="P11">
            <v>8989</v>
          </cell>
          <cell r="Q11">
            <v>13483</v>
          </cell>
          <cell r="R11">
            <v>13483</v>
          </cell>
          <cell r="T11">
            <v>115954</v>
          </cell>
        </row>
        <row r="12">
          <cell r="A12">
            <v>36831</v>
          </cell>
          <cell r="B12" t="str">
            <v>2546</v>
          </cell>
          <cell r="C12" t="str">
            <v>FT-G</v>
          </cell>
          <cell r="D12" t="str">
            <v>Tennessee</v>
          </cell>
          <cell r="E12" t="str">
            <v>Danville</v>
          </cell>
          <cell r="F12">
            <v>37561</v>
          </cell>
          <cell r="G12">
            <v>13483</v>
          </cell>
          <cell r="H12">
            <v>13483</v>
          </cell>
          <cell r="I12">
            <v>13483</v>
          </cell>
          <cell r="J12">
            <v>9887</v>
          </cell>
          <cell r="K12">
            <v>7191</v>
          </cell>
          <cell r="L12">
            <v>5393</v>
          </cell>
          <cell r="M12">
            <v>4944</v>
          </cell>
          <cell r="N12">
            <v>4944</v>
          </cell>
          <cell r="O12">
            <v>5393</v>
          </cell>
          <cell r="P12">
            <v>8989</v>
          </cell>
          <cell r="Q12">
            <v>13483</v>
          </cell>
          <cell r="R12">
            <v>13483</v>
          </cell>
          <cell r="T12">
            <v>114156</v>
          </cell>
        </row>
        <row r="13">
          <cell r="A13">
            <v>43831</v>
          </cell>
        </row>
      </sheetData>
      <sheetData sheetId="22">
        <row r="10">
          <cell r="A10">
            <v>34274</v>
          </cell>
          <cell r="B10" t="str">
            <v>2546</v>
          </cell>
          <cell r="C10" t="str">
            <v>FT-G</v>
          </cell>
          <cell r="D10" t="str">
            <v>Tennessee Gas</v>
          </cell>
          <cell r="E10" t="str">
            <v>Danville</v>
          </cell>
          <cell r="F10">
            <v>36831</v>
          </cell>
          <cell r="G10">
            <v>1471</v>
          </cell>
          <cell r="H10">
            <v>1471</v>
          </cell>
          <cell r="I10">
            <v>1471</v>
          </cell>
          <cell r="J10">
            <v>771</v>
          </cell>
          <cell r="K10">
            <v>764</v>
          </cell>
          <cell r="L10">
            <v>840</v>
          </cell>
          <cell r="M10">
            <v>797</v>
          </cell>
          <cell r="N10">
            <v>770</v>
          </cell>
          <cell r="O10">
            <v>741</v>
          </cell>
          <cell r="P10">
            <v>808</v>
          </cell>
          <cell r="Q10">
            <v>1471</v>
          </cell>
          <cell r="R10">
            <v>1471</v>
          </cell>
          <cell r="T10">
            <v>12846</v>
          </cell>
        </row>
        <row r="11">
          <cell r="A11">
            <v>36557</v>
          </cell>
          <cell r="B11" t="str">
            <v>2546</v>
          </cell>
          <cell r="C11" t="str">
            <v>FT-G</v>
          </cell>
          <cell r="D11" t="str">
            <v>Tennessee Gas</v>
          </cell>
          <cell r="E11" t="str">
            <v>Danville</v>
          </cell>
          <cell r="F11">
            <v>36831</v>
          </cell>
          <cell r="G11">
            <v>1517</v>
          </cell>
          <cell r="H11">
            <v>1517</v>
          </cell>
          <cell r="I11">
            <v>1517</v>
          </cell>
          <cell r="J11">
            <v>1113</v>
          </cell>
          <cell r="K11">
            <v>809</v>
          </cell>
          <cell r="L11">
            <v>809</v>
          </cell>
          <cell r="M11">
            <v>556</v>
          </cell>
          <cell r="N11">
            <v>556</v>
          </cell>
          <cell r="O11">
            <v>607</v>
          </cell>
          <cell r="P11">
            <v>1011</v>
          </cell>
          <cell r="Q11">
            <v>1517</v>
          </cell>
          <cell r="R11">
            <v>1517</v>
          </cell>
          <cell r="T11">
            <v>13046</v>
          </cell>
        </row>
        <row r="12">
          <cell r="A12">
            <v>36831</v>
          </cell>
          <cell r="B12" t="str">
            <v>2546</v>
          </cell>
          <cell r="C12" t="str">
            <v>FT-G</v>
          </cell>
          <cell r="D12" t="str">
            <v>Tennessee Gas</v>
          </cell>
          <cell r="E12" t="str">
            <v>Danville</v>
          </cell>
          <cell r="F12">
            <v>37561</v>
          </cell>
          <cell r="G12">
            <v>1517</v>
          </cell>
          <cell r="H12">
            <v>1517</v>
          </cell>
          <cell r="I12">
            <v>1517</v>
          </cell>
          <cell r="J12">
            <v>1113</v>
          </cell>
          <cell r="K12">
            <v>809</v>
          </cell>
          <cell r="L12">
            <v>607</v>
          </cell>
          <cell r="M12">
            <v>556</v>
          </cell>
          <cell r="N12">
            <v>556</v>
          </cell>
          <cell r="O12">
            <v>607</v>
          </cell>
          <cell r="P12">
            <v>1011</v>
          </cell>
          <cell r="Q12">
            <v>1517</v>
          </cell>
          <cell r="R12">
            <v>1517</v>
          </cell>
          <cell r="T12">
            <v>12844</v>
          </cell>
        </row>
        <row r="13">
          <cell r="A13">
            <v>43831</v>
          </cell>
        </row>
      </sheetData>
      <sheetData sheetId="23">
        <row r="9">
          <cell r="A9">
            <v>34274</v>
          </cell>
          <cell r="B9" t="str">
            <v>2548</v>
          </cell>
          <cell r="C9" t="str">
            <v>FT-G</v>
          </cell>
          <cell r="D9" t="str">
            <v>Tennessee Gas</v>
          </cell>
          <cell r="E9" t="str">
            <v>Lebanon</v>
          </cell>
          <cell r="F9">
            <v>36831</v>
          </cell>
          <cell r="G9">
            <v>5324</v>
          </cell>
          <cell r="H9">
            <v>5324</v>
          </cell>
          <cell r="I9">
            <v>5324</v>
          </cell>
          <cell r="J9">
            <v>5100</v>
          </cell>
          <cell r="K9">
            <v>2261</v>
          </cell>
          <cell r="L9">
            <v>1720</v>
          </cell>
          <cell r="M9">
            <v>1710</v>
          </cell>
          <cell r="N9">
            <v>1720</v>
          </cell>
          <cell r="O9">
            <v>2191</v>
          </cell>
          <cell r="P9">
            <v>3677</v>
          </cell>
          <cell r="Q9">
            <v>5324</v>
          </cell>
          <cell r="R9">
            <v>5324</v>
          </cell>
          <cell r="T9">
            <v>44999</v>
          </cell>
        </row>
        <row r="10">
          <cell r="A10">
            <v>36557</v>
          </cell>
          <cell r="B10" t="str">
            <v>2548</v>
          </cell>
          <cell r="C10" t="str">
            <v>FT-G</v>
          </cell>
          <cell r="D10" t="str">
            <v>Tennessee Gas</v>
          </cell>
          <cell r="E10" t="str">
            <v>Lebanon</v>
          </cell>
          <cell r="F10">
            <v>36831</v>
          </cell>
          <cell r="G10">
            <v>5262</v>
          </cell>
          <cell r="H10">
            <v>5262</v>
          </cell>
          <cell r="I10">
            <v>5262</v>
          </cell>
          <cell r="J10">
            <v>5014</v>
          </cell>
          <cell r="K10">
            <v>2279</v>
          </cell>
          <cell r="L10">
            <v>2279</v>
          </cell>
          <cell r="M10">
            <v>1823</v>
          </cell>
          <cell r="N10">
            <v>1823</v>
          </cell>
          <cell r="O10">
            <v>1823</v>
          </cell>
          <cell r="P10">
            <v>1823</v>
          </cell>
          <cell r="Q10">
            <v>5262</v>
          </cell>
          <cell r="R10">
            <v>5262</v>
          </cell>
          <cell r="T10">
            <v>43174</v>
          </cell>
        </row>
        <row r="11">
          <cell r="A11">
            <v>36831</v>
          </cell>
          <cell r="B11" t="str">
            <v>2548</v>
          </cell>
          <cell r="C11" t="str">
            <v>FT-G</v>
          </cell>
          <cell r="D11" t="str">
            <v>Tennessee Gas</v>
          </cell>
          <cell r="E11" t="str">
            <v>Lebanon</v>
          </cell>
          <cell r="F11">
            <v>37561</v>
          </cell>
          <cell r="G11">
            <v>5262</v>
          </cell>
          <cell r="H11">
            <v>5262</v>
          </cell>
          <cell r="I11">
            <v>5262</v>
          </cell>
          <cell r="J11">
            <v>5014</v>
          </cell>
          <cell r="K11">
            <v>2279</v>
          </cell>
          <cell r="L11">
            <v>1823</v>
          </cell>
          <cell r="M11">
            <v>1823</v>
          </cell>
          <cell r="N11">
            <v>1823</v>
          </cell>
          <cell r="O11">
            <v>2279</v>
          </cell>
          <cell r="P11">
            <v>3646</v>
          </cell>
          <cell r="Q11">
            <v>5262</v>
          </cell>
          <cell r="R11">
            <v>5262</v>
          </cell>
          <cell r="T11">
            <v>44997</v>
          </cell>
        </row>
        <row r="12">
          <cell r="A12">
            <v>43831</v>
          </cell>
        </row>
      </sheetData>
      <sheetData sheetId="24">
        <row r="9">
          <cell r="A9">
            <v>34274</v>
          </cell>
          <cell r="B9" t="str">
            <v>2548</v>
          </cell>
          <cell r="C9" t="str">
            <v>FT-G</v>
          </cell>
          <cell r="D9" t="str">
            <v>Tennessee Gas</v>
          </cell>
          <cell r="E9" t="str">
            <v>Lebanon</v>
          </cell>
          <cell r="F9">
            <v>36831</v>
          </cell>
          <cell r="G9">
            <v>448</v>
          </cell>
          <cell r="H9">
            <v>448</v>
          </cell>
          <cell r="I9">
            <v>448</v>
          </cell>
          <cell r="J9">
            <v>400</v>
          </cell>
          <cell r="K9">
            <v>239</v>
          </cell>
          <cell r="L9">
            <v>280</v>
          </cell>
          <cell r="M9">
            <v>290</v>
          </cell>
          <cell r="N9">
            <v>280</v>
          </cell>
          <cell r="O9">
            <v>309</v>
          </cell>
          <cell r="P9">
            <v>323</v>
          </cell>
          <cell r="Q9">
            <v>448</v>
          </cell>
          <cell r="R9">
            <v>448</v>
          </cell>
          <cell r="T9">
            <v>4361</v>
          </cell>
        </row>
        <row r="10">
          <cell r="A10">
            <v>36557</v>
          </cell>
          <cell r="B10" t="str">
            <v>2548</v>
          </cell>
          <cell r="C10" t="str">
            <v>FT-G</v>
          </cell>
          <cell r="D10" t="str">
            <v>Tennessee Gas</v>
          </cell>
          <cell r="E10" t="str">
            <v>Lebanon</v>
          </cell>
          <cell r="F10">
            <v>36831</v>
          </cell>
          <cell r="G10">
            <v>510</v>
          </cell>
          <cell r="H10">
            <v>510</v>
          </cell>
          <cell r="I10">
            <v>510</v>
          </cell>
          <cell r="J10">
            <v>486</v>
          </cell>
          <cell r="K10">
            <v>221</v>
          </cell>
          <cell r="L10">
            <v>221</v>
          </cell>
          <cell r="M10">
            <v>177</v>
          </cell>
          <cell r="N10">
            <v>177</v>
          </cell>
          <cell r="O10">
            <v>177</v>
          </cell>
          <cell r="P10">
            <v>177</v>
          </cell>
          <cell r="Q10">
            <v>510</v>
          </cell>
          <cell r="R10">
            <v>510</v>
          </cell>
          <cell r="T10">
            <v>4186</v>
          </cell>
        </row>
        <row r="11">
          <cell r="A11">
            <v>36831</v>
          </cell>
          <cell r="B11" t="str">
            <v>2548</v>
          </cell>
          <cell r="C11" t="str">
            <v>FT-G</v>
          </cell>
          <cell r="D11" t="str">
            <v>Tennessee Gas</v>
          </cell>
          <cell r="E11" t="str">
            <v>Lebanon</v>
          </cell>
          <cell r="F11">
            <v>37561</v>
          </cell>
          <cell r="G11">
            <v>510</v>
          </cell>
          <cell r="H11">
            <v>510</v>
          </cell>
          <cell r="I11">
            <v>510</v>
          </cell>
          <cell r="J11">
            <v>486</v>
          </cell>
          <cell r="K11">
            <v>221</v>
          </cell>
          <cell r="L11">
            <v>177</v>
          </cell>
          <cell r="M11">
            <v>177</v>
          </cell>
          <cell r="N11">
            <v>177</v>
          </cell>
          <cell r="O11">
            <v>221</v>
          </cell>
          <cell r="P11">
            <v>354</v>
          </cell>
          <cell r="Q11">
            <v>510</v>
          </cell>
          <cell r="R11">
            <v>510</v>
          </cell>
          <cell r="T11">
            <v>4363</v>
          </cell>
        </row>
        <row r="12">
          <cell r="A12">
            <v>43831</v>
          </cell>
        </row>
      </sheetData>
      <sheetData sheetId="25">
        <row r="9">
          <cell r="A9">
            <v>34274</v>
          </cell>
          <cell r="B9" t="str">
            <v>2550</v>
          </cell>
          <cell r="C9" t="str">
            <v>FT-G</v>
          </cell>
          <cell r="D9" t="str">
            <v>Tennessee Gas</v>
          </cell>
          <cell r="E9" t="str">
            <v>Campbellsville</v>
          </cell>
          <cell r="F9">
            <v>36831</v>
          </cell>
          <cell r="G9">
            <v>6361</v>
          </cell>
          <cell r="H9">
            <v>6361</v>
          </cell>
          <cell r="I9">
            <v>6361</v>
          </cell>
          <cell r="J9">
            <v>5789</v>
          </cell>
          <cell r="K9">
            <v>4523</v>
          </cell>
          <cell r="L9">
            <v>3010</v>
          </cell>
          <cell r="M9">
            <v>3004</v>
          </cell>
          <cell r="N9">
            <v>3010</v>
          </cell>
          <cell r="O9">
            <v>4004</v>
          </cell>
          <cell r="P9">
            <v>4596</v>
          </cell>
          <cell r="Q9">
            <v>6361</v>
          </cell>
          <cell r="R9">
            <v>6361</v>
          </cell>
          <cell r="T9">
            <v>59741</v>
          </cell>
        </row>
        <row r="10">
          <cell r="A10">
            <v>36557</v>
          </cell>
          <cell r="B10" t="str">
            <v>2550</v>
          </cell>
          <cell r="C10" t="str">
            <v>FT-G</v>
          </cell>
          <cell r="D10" t="str">
            <v>Tennessee Gas</v>
          </cell>
          <cell r="E10" t="str">
            <v>Campbellsville</v>
          </cell>
          <cell r="F10">
            <v>36831</v>
          </cell>
          <cell r="G10">
            <v>6255</v>
          </cell>
          <cell r="H10">
            <v>6255</v>
          </cell>
          <cell r="I10">
            <v>6255</v>
          </cell>
          <cell r="J10">
            <v>5657</v>
          </cell>
          <cell r="K10">
            <v>4562</v>
          </cell>
          <cell r="L10">
            <v>4562</v>
          </cell>
          <cell r="M10">
            <v>3193</v>
          </cell>
          <cell r="N10">
            <v>3193</v>
          </cell>
          <cell r="O10">
            <v>4106</v>
          </cell>
          <cell r="P10">
            <v>4562</v>
          </cell>
          <cell r="Q10">
            <v>6255</v>
          </cell>
          <cell r="R10">
            <v>6255</v>
          </cell>
          <cell r="T10">
            <v>61110</v>
          </cell>
        </row>
        <row r="11">
          <cell r="A11">
            <v>36831</v>
          </cell>
          <cell r="B11" t="str">
            <v>2550</v>
          </cell>
          <cell r="C11" t="str">
            <v>FT-G</v>
          </cell>
          <cell r="D11" t="str">
            <v>Tennessee Gas</v>
          </cell>
          <cell r="E11" t="str">
            <v>Campbellsville</v>
          </cell>
          <cell r="F11">
            <v>37561</v>
          </cell>
          <cell r="G11">
            <v>6255</v>
          </cell>
          <cell r="H11">
            <v>6255</v>
          </cell>
          <cell r="I11">
            <v>6255</v>
          </cell>
          <cell r="J11">
            <v>5657</v>
          </cell>
          <cell r="K11">
            <v>4562</v>
          </cell>
          <cell r="L11">
            <v>3193</v>
          </cell>
          <cell r="M11">
            <v>3193</v>
          </cell>
          <cell r="N11">
            <v>3193</v>
          </cell>
          <cell r="O11">
            <v>4106</v>
          </cell>
          <cell r="P11">
            <v>4562</v>
          </cell>
          <cell r="Q11">
            <v>6255</v>
          </cell>
          <cell r="R11">
            <v>6255</v>
          </cell>
          <cell r="T11">
            <v>59741</v>
          </cell>
        </row>
        <row r="12">
          <cell r="A12">
            <v>43831</v>
          </cell>
        </row>
      </sheetData>
      <sheetData sheetId="26">
        <row r="9">
          <cell r="A9">
            <v>34274</v>
          </cell>
          <cell r="B9" t="str">
            <v>2550</v>
          </cell>
          <cell r="C9" t="str">
            <v>FT-G</v>
          </cell>
          <cell r="D9" t="str">
            <v>Tennessee Gas</v>
          </cell>
          <cell r="E9" t="str">
            <v>Campbellsville</v>
          </cell>
          <cell r="F9">
            <v>36831</v>
          </cell>
          <cell r="G9">
            <v>495</v>
          </cell>
          <cell r="H9">
            <v>495</v>
          </cell>
          <cell r="I9">
            <v>495</v>
          </cell>
          <cell r="J9">
            <v>411</v>
          </cell>
          <cell r="K9">
            <v>477</v>
          </cell>
          <cell r="L9">
            <v>490</v>
          </cell>
          <cell r="M9">
            <v>496</v>
          </cell>
          <cell r="N9">
            <v>490</v>
          </cell>
          <cell r="O9">
            <v>496</v>
          </cell>
          <cell r="P9">
            <v>404</v>
          </cell>
          <cell r="Q9">
            <v>495</v>
          </cell>
          <cell r="R9">
            <v>495</v>
          </cell>
          <cell r="T9">
            <v>5739</v>
          </cell>
        </row>
        <row r="10">
          <cell r="A10">
            <v>36557</v>
          </cell>
          <cell r="B10" t="str">
            <v>2550</v>
          </cell>
          <cell r="C10" t="str">
            <v>FT-G</v>
          </cell>
          <cell r="D10" t="str">
            <v>Tennessee Gas</v>
          </cell>
          <cell r="E10" t="str">
            <v>Campbellsville</v>
          </cell>
          <cell r="F10">
            <v>36831</v>
          </cell>
          <cell r="G10">
            <v>601</v>
          </cell>
          <cell r="H10">
            <v>601</v>
          </cell>
          <cell r="I10">
            <v>601</v>
          </cell>
          <cell r="J10">
            <v>543</v>
          </cell>
          <cell r="K10">
            <v>438</v>
          </cell>
          <cell r="L10">
            <v>438</v>
          </cell>
          <cell r="M10">
            <v>307</v>
          </cell>
          <cell r="N10">
            <v>307</v>
          </cell>
          <cell r="O10">
            <v>394</v>
          </cell>
          <cell r="P10">
            <v>438</v>
          </cell>
          <cell r="Q10">
            <v>601</v>
          </cell>
          <cell r="R10">
            <v>601</v>
          </cell>
          <cell r="T10">
            <v>5870</v>
          </cell>
        </row>
        <row r="11">
          <cell r="A11">
            <v>36831</v>
          </cell>
          <cell r="B11" t="str">
            <v>2550</v>
          </cell>
          <cell r="C11" t="str">
            <v>FT-G</v>
          </cell>
          <cell r="D11" t="str">
            <v>Tennessee Gas</v>
          </cell>
          <cell r="E11" t="str">
            <v>Campbellsville</v>
          </cell>
          <cell r="F11">
            <v>37561</v>
          </cell>
          <cell r="G11">
            <v>601</v>
          </cell>
          <cell r="H11">
            <v>601</v>
          </cell>
          <cell r="I11">
            <v>601</v>
          </cell>
          <cell r="J11">
            <v>543</v>
          </cell>
          <cell r="K11">
            <v>438</v>
          </cell>
          <cell r="L11">
            <v>307</v>
          </cell>
          <cell r="M11">
            <v>307</v>
          </cell>
          <cell r="N11">
            <v>307</v>
          </cell>
          <cell r="O11">
            <v>394</v>
          </cell>
          <cell r="P11">
            <v>438</v>
          </cell>
          <cell r="Q11">
            <v>601</v>
          </cell>
          <cell r="R11">
            <v>601</v>
          </cell>
          <cell r="T11">
            <v>5739</v>
          </cell>
        </row>
        <row r="12">
          <cell r="A12">
            <v>43831</v>
          </cell>
        </row>
      </sheetData>
      <sheetData sheetId="27">
        <row r="9">
          <cell r="A9">
            <v>34274</v>
          </cell>
          <cell r="B9" t="str">
            <v>2551</v>
          </cell>
          <cell r="C9" t="str">
            <v>FT-G</v>
          </cell>
          <cell r="D9" t="str">
            <v>Tennessee Gas</v>
          </cell>
          <cell r="E9" t="str">
            <v>Harrodsburg</v>
          </cell>
          <cell r="F9">
            <v>36831</v>
          </cell>
          <cell r="G9">
            <v>5121</v>
          </cell>
          <cell r="H9">
            <v>5121</v>
          </cell>
          <cell r="I9">
            <v>5121</v>
          </cell>
          <cell r="J9">
            <v>4625</v>
          </cell>
          <cell r="K9">
            <v>2713</v>
          </cell>
          <cell r="L9">
            <v>1720</v>
          </cell>
          <cell r="M9">
            <v>1710</v>
          </cell>
          <cell r="N9">
            <v>1720</v>
          </cell>
          <cell r="O9">
            <v>2753</v>
          </cell>
          <cell r="P9">
            <v>4213</v>
          </cell>
          <cell r="Q9">
            <v>5121</v>
          </cell>
          <cell r="R9">
            <v>5121</v>
          </cell>
          <cell r="T9">
            <v>45059</v>
          </cell>
        </row>
        <row r="10">
          <cell r="A10">
            <v>36557</v>
          </cell>
          <cell r="B10" t="str">
            <v>2551</v>
          </cell>
          <cell r="C10" t="str">
            <v>FT-G</v>
          </cell>
          <cell r="D10" t="str">
            <v>Tennessee Gas</v>
          </cell>
          <cell r="E10" t="str">
            <v>Harrodsburg</v>
          </cell>
          <cell r="F10">
            <v>36831</v>
          </cell>
          <cell r="G10">
            <v>5098</v>
          </cell>
          <cell r="H10">
            <v>5098</v>
          </cell>
          <cell r="I10">
            <v>5098</v>
          </cell>
          <cell r="J10">
            <v>4551</v>
          </cell>
          <cell r="K10">
            <v>2731</v>
          </cell>
          <cell r="L10">
            <v>2731</v>
          </cell>
          <cell r="M10">
            <v>1820</v>
          </cell>
          <cell r="N10">
            <v>1820</v>
          </cell>
          <cell r="O10">
            <v>1820</v>
          </cell>
          <cell r="P10">
            <v>1820</v>
          </cell>
          <cell r="Q10">
            <v>5098</v>
          </cell>
          <cell r="R10">
            <v>5098</v>
          </cell>
          <cell r="T10">
            <v>42783</v>
          </cell>
        </row>
        <row r="11">
          <cell r="A11">
            <v>36831</v>
          </cell>
          <cell r="B11" t="str">
            <v>2551</v>
          </cell>
          <cell r="C11" t="str">
            <v>FT-G</v>
          </cell>
          <cell r="D11" t="str">
            <v>Tennessee Gas</v>
          </cell>
          <cell r="E11" t="str">
            <v>Harrodsburg</v>
          </cell>
          <cell r="F11">
            <v>37561</v>
          </cell>
          <cell r="G11">
            <v>5098</v>
          </cell>
          <cell r="H11">
            <v>5098</v>
          </cell>
          <cell r="I11">
            <v>5098</v>
          </cell>
          <cell r="J11">
            <v>4551</v>
          </cell>
          <cell r="K11">
            <v>2731</v>
          </cell>
          <cell r="L11">
            <v>1821</v>
          </cell>
          <cell r="M11">
            <v>1820</v>
          </cell>
          <cell r="N11">
            <v>1820</v>
          </cell>
          <cell r="O11">
            <v>2730</v>
          </cell>
          <cell r="P11">
            <v>4095</v>
          </cell>
          <cell r="Q11">
            <v>5098</v>
          </cell>
          <cell r="R11">
            <v>5098</v>
          </cell>
          <cell r="T11">
            <v>45058</v>
          </cell>
        </row>
        <row r="12">
          <cell r="A12">
            <v>43831</v>
          </cell>
        </row>
      </sheetData>
      <sheetData sheetId="28">
        <row r="9">
          <cell r="A9">
            <v>34274</v>
          </cell>
          <cell r="B9" t="str">
            <v>2551.1</v>
          </cell>
          <cell r="C9" t="str">
            <v>FT-G</v>
          </cell>
          <cell r="D9" t="str">
            <v>Tennessee Gas</v>
          </cell>
          <cell r="E9" t="str">
            <v>Harrodsburg</v>
          </cell>
          <cell r="F9">
            <v>36831</v>
          </cell>
          <cell r="G9">
            <v>480</v>
          </cell>
          <cell r="H9">
            <v>480</v>
          </cell>
          <cell r="I9">
            <v>480</v>
          </cell>
          <cell r="J9">
            <v>375</v>
          </cell>
          <cell r="K9">
            <v>287</v>
          </cell>
          <cell r="L9">
            <v>280</v>
          </cell>
          <cell r="M9">
            <v>290</v>
          </cell>
          <cell r="N9">
            <v>280</v>
          </cell>
          <cell r="O9">
            <v>247</v>
          </cell>
          <cell r="P9">
            <v>287</v>
          </cell>
          <cell r="Q9">
            <v>480</v>
          </cell>
          <cell r="R9">
            <v>480</v>
          </cell>
          <cell r="T9">
            <v>4446</v>
          </cell>
        </row>
        <row r="10">
          <cell r="A10">
            <v>36557</v>
          </cell>
          <cell r="B10" t="str">
            <v>2551.1</v>
          </cell>
          <cell r="C10" t="str">
            <v>FT-G</v>
          </cell>
          <cell r="D10" t="str">
            <v>Tennessee Gas</v>
          </cell>
          <cell r="E10" t="str">
            <v>Harrodsburg</v>
          </cell>
          <cell r="F10">
            <v>36831</v>
          </cell>
          <cell r="G10">
            <v>503</v>
          </cell>
          <cell r="H10">
            <v>503</v>
          </cell>
          <cell r="I10">
            <v>503</v>
          </cell>
          <cell r="J10">
            <v>449</v>
          </cell>
          <cell r="K10">
            <v>269</v>
          </cell>
          <cell r="L10">
            <v>269</v>
          </cell>
          <cell r="M10">
            <v>180</v>
          </cell>
          <cell r="N10">
            <v>180</v>
          </cell>
          <cell r="O10">
            <v>180</v>
          </cell>
          <cell r="P10">
            <v>180</v>
          </cell>
          <cell r="Q10">
            <v>503</v>
          </cell>
          <cell r="R10">
            <v>503</v>
          </cell>
          <cell r="T10">
            <v>4222</v>
          </cell>
        </row>
        <row r="11">
          <cell r="A11">
            <v>36831</v>
          </cell>
          <cell r="B11" t="str">
            <v>2551.1</v>
          </cell>
          <cell r="C11" t="str">
            <v>FT-G</v>
          </cell>
          <cell r="D11" t="str">
            <v>Tennessee Gas</v>
          </cell>
          <cell r="E11" t="str">
            <v>Harrodsburg</v>
          </cell>
          <cell r="F11">
            <v>37561</v>
          </cell>
          <cell r="G11">
            <v>503</v>
          </cell>
          <cell r="H11">
            <v>503</v>
          </cell>
          <cell r="I11">
            <v>503</v>
          </cell>
          <cell r="J11">
            <v>449</v>
          </cell>
          <cell r="K11">
            <v>269</v>
          </cell>
          <cell r="L11">
            <v>179</v>
          </cell>
          <cell r="M11">
            <v>180</v>
          </cell>
          <cell r="N11">
            <v>180</v>
          </cell>
          <cell r="O11">
            <v>270</v>
          </cell>
          <cell r="P11">
            <v>405</v>
          </cell>
          <cell r="Q11">
            <v>503</v>
          </cell>
          <cell r="R11">
            <v>503</v>
          </cell>
          <cell r="T11">
            <v>4447</v>
          </cell>
        </row>
        <row r="12">
          <cell r="A12">
            <v>43831</v>
          </cell>
        </row>
      </sheetData>
      <sheetData sheetId="29">
        <row r="9">
          <cell r="A9">
            <v>34274</v>
          </cell>
          <cell r="B9" t="str">
            <v>2385</v>
          </cell>
          <cell r="C9" t="str">
            <v>FT-GS</v>
          </cell>
          <cell r="D9" t="str">
            <v>Tennessee Gas</v>
          </cell>
          <cell r="E9" t="str">
            <v>Greensburg</v>
          </cell>
          <cell r="F9">
            <v>36831</v>
          </cell>
          <cell r="G9">
            <v>8282</v>
          </cell>
          <cell r="H9">
            <v>8282</v>
          </cell>
          <cell r="I9">
            <v>8282</v>
          </cell>
          <cell r="J9">
            <v>8282</v>
          </cell>
          <cell r="K9">
            <v>8282</v>
          </cell>
          <cell r="L9">
            <v>8282</v>
          </cell>
          <cell r="M9">
            <v>8282</v>
          </cell>
          <cell r="N9">
            <v>8282</v>
          </cell>
          <cell r="O9">
            <v>8282</v>
          </cell>
          <cell r="P9">
            <v>8282</v>
          </cell>
          <cell r="Q9">
            <v>8282</v>
          </cell>
          <cell r="R9">
            <v>8282</v>
          </cell>
          <cell r="T9">
            <v>99384</v>
          </cell>
        </row>
        <row r="10">
          <cell r="A10">
            <v>43831</v>
          </cell>
        </row>
      </sheetData>
      <sheetData sheetId="30"/>
      <sheetData sheetId="31">
        <row r="10">
          <cell r="A10">
            <v>35370</v>
          </cell>
          <cell r="B10" t="str">
            <v>014573</v>
          </cell>
          <cell r="C10" t="str">
            <v>T-FTS</v>
          </cell>
          <cell r="D10" t="str">
            <v>Trunkline Gas</v>
          </cell>
          <cell r="E10" t="str">
            <v>Paducah</v>
          </cell>
          <cell r="F10">
            <v>35703</v>
          </cell>
          <cell r="G10">
            <v>8000</v>
          </cell>
          <cell r="H10">
            <v>8000</v>
          </cell>
          <cell r="I10">
            <v>8000</v>
          </cell>
          <cell r="J10">
            <v>8000</v>
          </cell>
          <cell r="K10">
            <v>2200</v>
          </cell>
          <cell r="L10">
            <v>2200</v>
          </cell>
          <cell r="M10">
            <v>2200</v>
          </cell>
          <cell r="N10">
            <v>2200</v>
          </cell>
          <cell r="O10">
            <v>2200</v>
          </cell>
          <cell r="P10">
            <v>8000</v>
          </cell>
          <cell r="Q10">
            <v>8000</v>
          </cell>
          <cell r="R10">
            <v>8000</v>
          </cell>
          <cell r="T10">
            <v>67000</v>
          </cell>
        </row>
        <row r="11">
          <cell r="A11">
            <v>35704</v>
          </cell>
          <cell r="B11" t="str">
            <v>014573</v>
          </cell>
          <cell r="C11" t="str">
            <v>T-FTS</v>
          </cell>
          <cell r="D11" t="str">
            <v>Trunkline Gas</v>
          </cell>
          <cell r="E11" t="str">
            <v>Paducah</v>
          </cell>
          <cell r="F11">
            <v>36068</v>
          </cell>
          <cell r="G11">
            <v>8000</v>
          </cell>
          <cell r="H11">
            <v>8000</v>
          </cell>
          <cell r="I11">
            <v>8000</v>
          </cell>
          <cell r="J11">
            <v>8000</v>
          </cell>
          <cell r="K11">
            <v>2200</v>
          </cell>
          <cell r="L11">
            <v>2200</v>
          </cell>
          <cell r="M11">
            <v>2200</v>
          </cell>
          <cell r="N11">
            <v>2200</v>
          </cell>
          <cell r="O11">
            <v>2200</v>
          </cell>
          <cell r="P11">
            <v>8000</v>
          </cell>
          <cell r="Q11">
            <v>8000</v>
          </cell>
          <cell r="R11">
            <v>8000</v>
          </cell>
          <cell r="T11">
            <v>67000</v>
          </cell>
        </row>
        <row r="12">
          <cell r="A12">
            <v>36069</v>
          </cell>
          <cell r="B12" t="str">
            <v>014573</v>
          </cell>
          <cell r="C12" t="str">
            <v>T-FTS</v>
          </cell>
          <cell r="D12" t="str">
            <v>Trunkline Gas</v>
          </cell>
          <cell r="E12" t="str">
            <v>Paducah</v>
          </cell>
          <cell r="F12">
            <v>36433</v>
          </cell>
          <cell r="G12">
            <v>8000</v>
          </cell>
          <cell r="H12">
            <v>8000</v>
          </cell>
          <cell r="I12">
            <v>8000</v>
          </cell>
          <cell r="J12">
            <v>8000</v>
          </cell>
          <cell r="K12">
            <v>2200</v>
          </cell>
          <cell r="L12">
            <v>2200</v>
          </cell>
          <cell r="M12">
            <v>2200</v>
          </cell>
          <cell r="N12">
            <v>2200</v>
          </cell>
          <cell r="O12">
            <v>2200</v>
          </cell>
          <cell r="P12">
            <v>8000</v>
          </cell>
          <cell r="Q12">
            <v>8000</v>
          </cell>
          <cell r="R12">
            <v>8000</v>
          </cell>
          <cell r="T12">
            <v>67000</v>
          </cell>
        </row>
        <row r="13">
          <cell r="A13">
            <v>36434</v>
          </cell>
          <cell r="B13" t="str">
            <v>014573</v>
          </cell>
          <cell r="C13" t="str">
            <v>T-FTS</v>
          </cell>
          <cell r="D13" t="str">
            <v>Trunkline Gas</v>
          </cell>
          <cell r="E13" t="str">
            <v>Paducah</v>
          </cell>
          <cell r="F13">
            <v>36464</v>
          </cell>
          <cell r="G13">
            <v>8000</v>
          </cell>
          <cell r="H13">
            <v>8000</v>
          </cell>
          <cell r="I13">
            <v>8000</v>
          </cell>
          <cell r="J13">
            <v>8000</v>
          </cell>
          <cell r="K13">
            <v>2200</v>
          </cell>
          <cell r="L13">
            <v>2200</v>
          </cell>
          <cell r="M13">
            <v>2200</v>
          </cell>
          <cell r="N13">
            <v>2200</v>
          </cell>
          <cell r="O13">
            <v>2200</v>
          </cell>
          <cell r="P13">
            <v>8000</v>
          </cell>
          <cell r="Q13">
            <v>8000</v>
          </cell>
          <cell r="R13">
            <v>8000</v>
          </cell>
          <cell r="T13">
            <v>67000</v>
          </cell>
        </row>
        <row r="14">
          <cell r="A14">
            <v>36465</v>
          </cell>
          <cell r="B14" t="str">
            <v>014573</v>
          </cell>
          <cell r="C14" t="str">
            <v>T-FTS</v>
          </cell>
          <cell r="D14" t="str">
            <v>Trunkline Gas</v>
          </cell>
          <cell r="E14" t="str">
            <v>Paducah</v>
          </cell>
          <cell r="F14">
            <v>36799</v>
          </cell>
          <cell r="G14">
            <v>11000</v>
          </cell>
          <cell r="H14">
            <v>11000</v>
          </cell>
          <cell r="I14">
            <v>11000</v>
          </cell>
          <cell r="J14">
            <v>11000</v>
          </cell>
          <cell r="K14">
            <v>3025</v>
          </cell>
          <cell r="L14">
            <v>3025</v>
          </cell>
          <cell r="M14">
            <v>3025</v>
          </cell>
          <cell r="N14">
            <v>3025</v>
          </cell>
          <cell r="O14">
            <v>3025</v>
          </cell>
          <cell r="P14">
            <v>11000</v>
          </cell>
          <cell r="Q14">
            <v>11000</v>
          </cell>
          <cell r="R14">
            <v>11000</v>
          </cell>
          <cell r="T14">
            <v>92125</v>
          </cell>
        </row>
        <row r="15">
          <cell r="A15">
            <v>36800</v>
          </cell>
          <cell r="B15" t="str">
            <v>014573</v>
          </cell>
          <cell r="C15" t="str">
            <v>T-FTS</v>
          </cell>
          <cell r="D15" t="str">
            <v>Trunkline Gas</v>
          </cell>
          <cell r="E15" t="str">
            <v>Paducah</v>
          </cell>
          <cell r="F15">
            <v>37164</v>
          </cell>
          <cell r="G15">
            <v>11000</v>
          </cell>
          <cell r="H15">
            <v>11000</v>
          </cell>
          <cell r="I15">
            <v>11000</v>
          </cell>
          <cell r="J15">
            <v>11000</v>
          </cell>
          <cell r="K15">
            <v>3025</v>
          </cell>
          <cell r="L15">
            <v>3025</v>
          </cell>
          <cell r="M15">
            <v>3025</v>
          </cell>
          <cell r="N15">
            <v>3025</v>
          </cell>
          <cell r="O15">
            <v>3025</v>
          </cell>
          <cell r="P15">
            <v>11000</v>
          </cell>
          <cell r="Q15">
            <v>11000</v>
          </cell>
          <cell r="R15">
            <v>11000</v>
          </cell>
          <cell r="T15">
            <v>92125</v>
          </cell>
        </row>
        <row r="16">
          <cell r="A16">
            <v>37165</v>
          </cell>
          <cell r="B16" t="str">
            <v>014573</v>
          </cell>
          <cell r="C16" t="str">
            <v>T-FTS</v>
          </cell>
          <cell r="D16" t="str">
            <v>Trunkline Gas</v>
          </cell>
          <cell r="E16" t="str">
            <v>Paducah</v>
          </cell>
          <cell r="F16">
            <v>37195</v>
          </cell>
          <cell r="G16">
            <v>11000</v>
          </cell>
          <cell r="H16">
            <v>11000</v>
          </cell>
          <cell r="I16">
            <v>11000</v>
          </cell>
          <cell r="J16">
            <v>11000</v>
          </cell>
          <cell r="K16">
            <v>3025</v>
          </cell>
          <cell r="L16">
            <v>3025</v>
          </cell>
          <cell r="M16">
            <v>3025</v>
          </cell>
          <cell r="N16">
            <v>3025</v>
          </cell>
          <cell r="O16">
            <v>3025</v>
          </cell>
          <cell r="P16">
            <v>11000</v>
          </cell>
          <cell r="Q16">
            <v>11000</v>
          </cell>
          <cell r="R16">
            <v>11000</v>
          </cell>
          <cell r="T16">
            <v>92125</v>
          </cell>
        </row>
        <row r="17">
          <cell r="A17">
            <v>37926</v>
          </cell>
          <cell r="B17" t="str">
            <v>014573</v>
          </cell>
          <cell r="C17" t="str">
            <v>T-FTS</v>
          </cell>
          <cell r="D17" t="str">
            <v>Trunkline Gas</v>
          </cell>
          <cell r="E17" t="str">
            <v>Paducah</v>
          </cell>
          <cell r="G17">
            <v>8000</v>
          </cell>
          <cell r="H17">
            <v>8000</v>
          </cell>
          <cell r="I17">
            <v>8000</v>
          </cell>
          <cell r="J17">
            <v>8000</v>
          </cell>
          <cell r="K17">
            <v>2200</v>
          </cell>
          <cell r="L17">
            <v>2200</v>
          </cell>
          <cell r="M17">
            <v>2200</v>
          </cell>
          <cell r="N17">
            <v>2200</v>
          </cell>
          <cell r="O17">
            <v>2200</v>
          </cell>
          <cell r="P17">
            <v>8000</v>
          </cell>
          <cell r="Q17">
            <v>8000</v>
          </cell>
          <cell r="R17">
            <v>8000</v>
          </cell>
          <cell r="T17">
            <v>67000</v>
          </cell>
        </row>
        <row r="18">
          <cell r="A18">
            <v>43831</v>
          </cell>
        </row>
      </sheetData>
      <sheetData sheetId="32">
        <row r="8">
          <cell r="A8">
            <v>35370</v>
          </cell>
          <cell r="B8">
            <v>0.25800000000000001</v>
          </cell>
          <cell r="C8">
            <v>0.26</v>
          </cell>
          <cell r="D8">
            <v>248000</v>
          </cell>
          <cell r="E8">
            <v>224000</v>
          </cell>
          <cell r="F8">
            <v>248000</v>
          </cell>
          <cell r="G8">
            <v>240000</v>
          </cell>
          <cell r="H8">
            <v>68200</v>
          </cell>
          <cell r="I8">
            <v>66000</v>
          </cell>
          <cell r="J8">
            <v>68200</v>
          </cell>
          <cell r="K8">
            <v>68200</v>
          </cell>
          <cell r="L8">
            <v>66000</v>
          </cell>
          <cell r="M8">
            <v>248000</v>
          </cell>
          <cell r="N8">
            <v>240000</v>
          </cell>
          <cell r="O8">
            <v>248000</v>
          </cell>
          <cell r="P8">
            <v>2032600</v>
          </cell>
          <cell r="Q8">
            <v>562310.80000000005</v>
          </cell>
        </row>
        <row r="9">
          <cell r="A9">
            <v>36557</v>
          </cell>
          <cell r="B9">
            <v>0.26790000000000003</v>
          </cell>
          <cell r="C9">
            <v>0.23</v>
          </cell>
          <cell r="D9">
            <v>248000</v>
          </cell>
          <cell r="E9">
            <v>224000</v>
          </cell>
          <cell r="F9">
            <v>248000</v>
          </cell>
          <cell r="G9">
            <v>240000</v>
          </cell>
          <cell r="H9">
            <v>68200</v>
          </cell>
          <cell r="I9">
            <v>66000</v>
          </cell>
          <cell r="J9">
            <v>68200</v>
          </cell>
          <cell r="K9">
            <v>68200</v>
          </cell>
          <cell r="L9">
            <v>66000</v>
          </cell>
          <cell r="M9">
            <v>248000</v>
          </cell>
          <cell r="N9">
            <v>240000</v>
          </cell>
          <cell r="O9">
            <v>248000</v>
          </cell>
          <cell r="P9">
            <v>2032600</v>
          </cell>
          <cell r="Q9">
            <v>580423.54</v>
          </cell>
        </row>
        <row r="10">
          <cell r="A10">
            <v>36831</v>
          </cell>
          <cell r="B10">
            <v>0.26790000000000003</v>
          </cell>
          <cell r="C10">
            <v>0.2</v>
          </cell>
          <cell r="D10">
            <v>248000</v>
          </cell>
          <cell r="E10">
            <v>224000</v>
          </cell>
          <cell r="F10">
            <v>248000</v>
          </cell>
          <cell r="G10">
            <v>240000</v>
          </cell>
          <cell r="H10">
            <v>68200</v>
          </cell>
          <cell r="I10">
            <v>66000</v>
          </cell>
          <cell r="J10">
            <v>68200</v>
          </cell>
          <cell r="K10">
            <v>68200</v>
          </cell>
          <cell r="L10">
            <v>66000</v>
          </cell>
          <cell r="M10">
            <v>248000</v>
          </cell>
          <cell r="N10">
            <v>240000</v>
          </cell>
          <cell r="O10">
            <v>248000</v>
          </cell>
          <cell r="P10">
            <v>2032600</v>
          </cell>
          <cell r="Q10">
            <v>557933.54</v>
          </cell>
        </row>
        <row r="11">
          <cell r="A11">
            <v>54789</v>
          </cell>
        </row>
      </sheetData>
      <sheetData sheetId="33"/>
      <sheetData sheetId="34">
        <row r="1">
          <cell r="A1" t="str">
            <v>Trunkline Gas Rates</v>
          </cell>
        </row>
        <row r="9">
          <cell r="A9">
            <v>35339</v>
          </cell>
          <cell r="B9">
            <v>2.5100000000000001E-2</v>
          </cell>
          <cell r="D9">
            <v>1.9E-3</v>
          </cell>
          <cell r="E9">
            <v>8.8000000000000005E-3</v>
          </cell>
        </row>
        <row r="10">
          <cell r="A10">
            <v>35370</v>
          </cell>
          <cell r="B10">
            <v>2.5100000000000001E-2</v>
          </cell>
          <cell r="D10">
            <v>1.9E-3</v>
          </cell>
          <cell r="E10">
            <v>8.8000000000000005E-3</v>
          </cell>
        </row>
        <row r="11">
          <cell r="A11">
            <v>35521</v>
          </cell>
          <cell r="B11">
            <v>2.5100000000000001E-2</v>
          </cell>
          <cell r="D11">
            <v>1.9E-3</v>
          </cell>
          <cell r="E11">
            <v>8.8000000000000005E-3</v>
          </cell>
          <cell r="F11">
            <v>1.18E-2</v>
          </cell>
        </row>
        <row r="12">
          <cell r="A12">
            <v>36465</v>
          </cell>
          <cell r="B12">
            <v>2.5099999999999997E-2</v>
          </cell>
          <cell r="D12">
            <v>2.2000000000000001E-3</v>
          </cell>
          <cell r="E12">
            <v>7.3000000000000001E-3</v>
          </cell>
          <cell r="F12">
            <v>9.7999999999999997E-3</v>
          </cell>
        </row>
        <row r="13">
          <cell r="A13">
            <v>36831</v>
          </cell>
          <cell r="B13">
            <v>2.5099999999999997E-2</v>
          </cell>
          <cell r="D13">
            <v>2.2000000000000001E-3</v>
          </cell>
          <cell r="E13">
            <v>7.1999999999999998E-3</v>
          </cell>
          <cell r="F13">
            <v>7.6E-3</v>
          </cell>
        </row>
        <row r="14">
          <cell r="A14">
            <v>37043</v>
          </cell>
          <cell r="B14">
            <v>2.5099999999999997E-2</v>
          </cell>
          <cell r="D14">
            <v>2.2000000000000001E-3</v>
          </cell>
          <cell r="E14">
            <v>7.0000000000000001E-3</v>
          </cell>
          <cell r="F14">
            <v>8.2000000000000007E-3</v>
          </cell>
        </row>
        <row r="15">
          <cell r="A15">
            <v>37196</v>
          </cell>
          <cell r="B15">
            <v>2.1299999999999999E-2</v>
          </cell>
          <cell r="D15">
            <v>2.2000000000000001E-3</v>
          </cell>
          <cell r="E15">
            <v>7.0000000000000001E-3</v>
          </cell>
          <cell r="F15">
            <v>8.2000000000000007E-3</v>
          </cell>
        </row>
        <row r="16">
          <cell r="A16">
            <v>37561</v>
          </cell>
          <cell r="B16">
            <v>2.1299999999999999E-2</v>
          </cell>
          <cell r="D16">
            <v>2.0999999999999999E-3</v>
          </cell>
          <cell r="E16">
            <v>5.4999999999999997E-3</v>
          </cell>
          <cell r="F16">
            <v>1.12E-2</v>
          </cell>
        </row>
        <row r="17">
          <cell r="A17">
            <v>37834</v>
          </cell>
          <cell r="B17">
            <v>2.1299999999999999E-2</v>
          </cell>
          <cell r="D17">
            <v>2.0999999999999999E-3</v>
          </cell>
          <cell r="E17">
            <v>4.0000000000000001E-3</v>
          </cell>
          <cell r="F17">
            <v>1.2800000000000001E-2</v>
          </cell>
        </row>
        <row r="18">
          <cell r="A18">
            <v>37926</v>
          </cell>
          <cell r="B18">
            <v>2.1299999999999999E-2</v>
          </cell>
          <cell r="D18">
            <v>2.0999999999999999E-3</v>
          </cell>
          <cell r="E18">
            <v>4.0000000000000001E-3</v>
          </cell>
          <cell r="F18">
            <v>1.32E-2</v>
          </cell>
        </row>
        <row r="19">
          <cell r="A19">
            <v>38108</v>
          </cell>
          <cell r="B19">
            <v>2.1299999999999999E-2</v>
          </cell>
          <cell r="D19">
            <v>2.0999999999999999E-3</v>
          </cell>
          <cell r="E19">
            <v>4.0000000000000001E-3</v>
          </cell>
          <cell r="F19">
            <v>1.11E-2</v>
          </cell>
        </row>
        <row r="20">
          <cell r="A20">
            <v>38200</v>
          </cell>
          <cell r="B20">
            <v>2.1299999999999999E-2</v>
          </cell>
          <cell r="D20">
            <v>2.0999999999999999E-3</v>
          </cell>
          <cell r="E20">
            <v>0</v>
          </cell>
          <cell r="F20">
            <v>1.11E-2</v>
          </cell>
        </row>
        <row r="21">
          <cell r="A21">
            <v>38384</v>
          </cell>
          <cell r="B21">
            <v>2.1299999999999999E-2</v>
          </cell>
          <cell r="D21">
            <v>1.9E-3</v>
          </cell>
          <cell r="E21">
            <v>0</v>
          </cell>
          <cell r="F21">
            <v>1.11E-2</v>
          </cell>
        </row>
        <row r="22">
          <cell r="A22">
            <v>39114</v>
          </cell>
          <cell r="B22">
            <v>2.1299999999999999E-2</v>
          </cell>
          <cell r="D22">
            <v>1.6000000000000001E-3</v>
          </cell>
          <cell r="E22">
            <v>0</v>
          </cell>
          <cell r="F22">
            <v>1.2999999999999999E-3</v>
          </cell>
        </row>
        <row r="23">
          <cell r="A23">
            <v>54789</v>
          </cell>
        </row>
      </sheetData>
      <sheetData sheetId="35"/>
      <sheetData sheetId="36">
        <row r="7">
          <cell r="A7" t="str">
            <v>Case No.</v>
          </cell>
          <cell r="B7" t="str">
            <v>Effective</v>
          </cell>
          <cell r="C7" t="str">
            <v>Commodity</v>
          </cell>
          <cell r="D7" t="str">
            <v>Demand</v>
          </cell>
          <cell r="E7" t="str">
            <v>TOP</v>
          </cell>
          <cell r="F7" t="str">
            <v>Transition</v>
          </cell>
          <cell r="G7" t="str">
            <v>BCOG</v>
          </cell>
          <cell r="H7" t="str">
            <v>CF</v>
          </cell>
          <cell r="I7" t="str">
            <v>RF</v>
          </cell>
          <cell r="J7" t="str">
            <v>PBRRF</v>
          </cell>
          <cell r="K7" t="str">
            <v>GCA</v>
          </cell>
        </row>
        <row r="8">
          <cell r="A8" t="str">
            <v>95-010</v>
          </cell>
          <cell r="B8">
            <v>34943</v>
          </cell>
          <cell r="C8">
            <v>1.6283000000000001</v>
          </cell>
          <cell r="D8">
            <v>1.0213000000000001</v>
          </cell>
          <cell r="E8">
            <v>8.2000000000000007E-3</v>
          </cell>
          <cell r="F8">
            <v>0.13819999999999999</v>
          </cell>
          <cell r="G8">
            <v>3.4331</v>
          </cell>
          <cell r="H8">
            <v>2.86E-2</v>
          </cell>
          <cell r="I8">
            <v>-0.26279999999999998</v>
          </cell>
          <cell r="K8">
            <v>-0.87129999999999974</v>
          </cell>
          <cell r="L8">
            <v>2.7960000000000003</v>
          </cell>
          <cell r="M8" t="str">
            <v>I</v>
          </cell>
          <cell r="N8" t="str">
            <v>I</v>
          </cell>
          <cell r="O8" t="str">
            <v>R</v>
          </cell>
          <cell r="P8" t="str">
            <v>N</v>
          </cell>
          <cell r="Q8" t="str">
            <v>R</v>
          </cell>
        </row>
        <row r="9">
          <cell r="A9" t="str">
            <v>95-010 A</v>
          </cell>
          <cell r="B9">
            <v>34999</v>
          </cell>
          <cell r="C9">
            <v>1.9764999999999999</v>
          </cell>
          <cell r="D9">
            <v>1.0213000000000001</v>
          </cell>
          <cell r="E9">
            <v>8.2000000000000007E-3</v>
          </cell>
          <cell r="F9">
            <v>0.1231</v>
          </cell>
          <cell r="G9">
            <v>3.4344000000000001</v>
          </cell>
          <cell r="H9">
            <v>-0.16750000000000001</v>
          </cell>
          <cell r="I9">
            <v>-0.26279999999999998</v>
          </cell>
          <cell r="K9">
            <v>-0.73560000000000036</v>
          </cell>
          <cell r="L9">
            <v>3.1290999999999998</v>
          </cell>
          <cell r="M9" t="str">
            <v>I</v>
          </cell>
          <cell r="N9" t="str">
            <v>R</v>
          </cell>
          <cell r="O9" t="str">
            <v>N</v>
          </cell>
          <cell r="P9" t="str">
            <v>N</v>
          </cell>
          <cell r="Q9" t="str">
            <v>I</v>
          </cell>
        </row>
        <row r="10">
          <cell r="A10" t="str">
            <v>95-010 B</v>
          </cell>
          <cell r="B10">
            <v>35004</v>
          </cell>
          <cell r="C10">
            <v>1.9550000000000001</v>
          </cell>
          <cell r="D10">
            <v>1.0213000000000001</v>
          </cell>
          <cell r="E10">
            <v>8.2000000000000007E-3</v>
          </cell>
          <cell r="F10">
            <v>7.7499999999999999E-2</v>
          </cell>
          <cell r="G10">
            <v>3.4331</v>
          </cell>
          <cell r="H10">
            <v>-0.16750000000000001</v>
          </cell>
          <cell r="I10">
            <v>-0.21329999999999999</v>
          </cell>
          <cell r="K10">
            <v>-0.75189999999999979</v>
          </cell>
          <cell r="L10">
            <v>3.0620000000000003</v>
          </cell>
          <cell r="M10" t="str">
            <v>R</v>
          </cell>
          <cell r="N10" t="str">
            <v>N</v>
          </cell>
          <cell r="O10" t="str">
            <v>I</v>
          </cell>
          <cell r="P10" t="str">
            <v>N</v>
          </cell>
          <cell r="Q10" t="str">
            <v>R</v>
          </cell>
        </row>
        <row r="11">
          <cell r="A11" t="str">
            <v>95-010 C</v>
          </cell>
          <cell r="B11">
            <v>35034</v>
          </cell>
          <cell r="C11">
            <v>2.0304000000000002</v>
          </cell>
          <cell r="D11">
            <v>1.0213000000000001</v>
          </cell>
          <cell r="E11">
            <v>8.2000000000000007E-3</v>
          </cell>
          <cell r="F11">
            <v>7.46E-2</v>
          </cell>
          <cell r="G11">
            <v>3.4331</v>
          </cell>
          <cell r="H11">
            <v>-0.16750000000000001</v>
          </cell>
          <cell r="I11">
            <v>-0.216</v>
          </cell>
          <cell r="K11">
            <v>-0.68209999999999993</v>
          </cell>
          <cell r="L11">
            <v>3.1345000000000001</v>
          </cell>
          <cell r="M11" t="str">
            <v>I</v>
          </cell>
          <cell r="N11" t="str">
            <v>N</v>
          </cell>
          <cell r="O11" t="str">
            <v>R</v>
          </cell>
          <cell r="P11" t="str">
            <v>N</v>
          </cell>
          <cell r="Q11" t="str">
            <v>I</v>
          </cell>
        </row>
        <row r="12">
          <cell r="A12" t="str">
            <v>95-010 D</v>
          </cell>
          <cell r="B12">
            <v>35065</v>
          </cell>
          <cell r="C12">
            <v>2.1781000000000001</v>
          </cell>
          <cell r="D12">
            <v>1.0088999999999999</v>
          </cell>
          <cell r="E12">
            <v>8.2000000000000007E-3</v>
          </cell>
          <cell r="F12">
            <v>7.46E-2</v>
          </cell>
          <cell r="G12">
            <v>3.4331</v>
          </cell>
          <cell r="H12">
            <v>-0.16750000000000001</v>
          </cell>
          <cell r="I12">
            <v>-0.216</v>
          </cell>
          <cell r="K12">
            <v>-0.54679999999999995</v>
          </cell>
          <cell r="L12">
            <v>3.2698</v>
          </cell>
          <cell r="M12" t="str">
            <v>I</v>
          </cell>
          <cell r="N12" t="str">
            <v>N</v>
          </cell>
          <cell r="O12" t="str">
            <v>N</v>
          </cell>
          <cell r="P12" t="str">
            <v>N</v>
          </cell>
          <cell r="Q12" t="str">
            <v>I</v>
          </cell>
        </row>
        <row r="13">
          <cell r="A13" t="str">
            <v>95-010 E</v>
          </cell>
          <cell r="B13">
            <v>35096</v>
          </cell>
          <cell r="C13">
            <v>2.5087000000000002</v>
          </cell>
          <cell r="D13">
            <v>1.0424</v>
          </cell>
          <cell r="E13">
            <v>0</v>
          </cell>
          <cell r="F13">
            <v>6.3200000000000006E-2</v>
          </cell>
          <cell r="G13">
            <v>3.4331</v>
          </cell>
          <cell r="H13">
            <v>-0.16750000000000001</v>
          </cell>
          <cell r="I13">
            <v>-0.1249</v>
          </cell>
          <cell r="K13">
            <v>-0.11119999999999997</v>
          </cell>
          <cell r="L13">
            <v>3.6143000000000001</v>
          </cell>
          <cell r="M13" t="str">
            <v>I</v>
          </cell>
          <cell r="N13" t="str">
            <v>N</v>
          </cell>
          <cell r="O13" t="str">
            <v>I</v>
          </cell>
          <cell r="P13" t="str">
            <v>N</v>
          </cell>
          <cell r="Q13" t="str">
            <v>I</v>
          </cell>
        </row>
        <row r="14">
          <cell r="A14" t="str">
            <v>95-010 F</v>
          </cell>
          <cell r="B14">
            <v>35125</v>
          </cell>
          <cell r="C14">
            <v>2.2099000000000002</v>
          </cell>
          <cell r="D14">
            <v>1.044</v>
          </cell>
          <cell r="E14">
            <v>0</v>
          </cell>
          <cell r="F14">
            <v>6.3200000000000006E-2</v>
          </cell>
          <cell r="G14">
            <v>3.4331</v>
          </cell>
          <cell r="H14">
            <v>-0.16750000000000001</v>
          </cell>
          <cell r="I14">
            <v>-0.1249</v>
          </cell>
          <cell r="K14">
            <v>-0.40839999999999965</v>
          </cell>
          <cell r="L14">
            <v>3.3171000000000004</v>
          </cell>
          <cell r="M14" t="str">
            <v>R</v>
          </cell>
          <cell r="N14" t="str">
            <v>N</v>
          </cell>
          <cell r="O14" t="str">
            <v>N</v>
          </cell>
          <cell r="P14" t="str">
            <v>N</v>
          </cell>
          <cell r="Q14" t="str">
            <v>R</v>
          </cell>
        </row>
        <row r="15">
          <cell r="A15" t="str">
            <v>95-010 G</v>
          </cell>
          <cell r="B15">
            <v>35156</v>
          </cell>
          <cell r="C15">
            <v>2.9235000000000002</v>
          </cell>
          <cell r="D15">
            <v>1.0227999999999999</v>
          </cell>
          <cell r="E15">
            <v>0</v>
          </cell>
          <cell r="F15">
            <v>6.6400000000000001E-2</v>
          </cell>
          <cell r="G15">
            <v>3.4331</v>
          </cell>
          <cell r="H15">
            <v>-0.121</v>
          </cell>
          <cell r="I15">
            <v>-9.0499999999999997E-2</v>
          </cell>
          <cell r="K15">
            <v>0.36809999999999965</v>
          </cell>
          <cell r="L15">
            <v>4.0126999999999997</v>
          </cell>
          <cell r="M15" t="str">
            <v>I</v>
          </cell>
          <cell r="N15" t="str">
            <v>I</v>
          </cell>
          <cell r="O15" t="str">
            <v>I</v>
          </cell>
          <cell r="P15" t="str">
            <v>N</v>
          </cell>
          <cell r="Q15" t="str">
            <v>I</v>
          </cell>
        </row>
        <row r="16">
          <cell r="A16" t="str">
            <v>95-010 H</v>
          </cell>
          <cell r="B16">
            <v>35186</v>
          </cell>
          <cell r="C16">
            <v>3.2216</v>
          </cell>
          <cell r="D16">
            <v>0.9073</v>
          </cell>
          <cell r="E16">
            <v>0</v>
          </cell>
          <cell r="F16">
            <v>6.6400000000000001E-2</v>
          </cell>
          <cell r="G16">
            <v>3.4331</v>
          </cell>
          <cell r="H16">
            <v>-0.121</v>
          </cell>
          <cell r="I16">
            <v>-9.0499999999999997E-2</v>
          </cell>
          <cell r="K16">
            <v>0.55069999999999952</v>
          </cell>
          <cell r="L16">
            <v>4.1952999999999996</v>
          </cell>
          <cell r="M16" t="str">
            <v>I</v>
          </cell>
          <cell r="N16" t="str">
            <v>N</v>
          </cell>
          <cell r="O16" t="str">
            <v>N</v>
          </cell>
          <cell r="P16" t="str">
            <v>N</v>
          </cell>
          <cell r="Q16" t="str">
            <v>I</v>
          </cell>
        </row>
        <row r="17">
          <cell r="A17" t="str">
            <v>95-010 I</v>
          </cell>
          <cell r="B17">
            <v>35217</v>
          </cell>
          <cell r="C17">
            <v>2.7440000000000002</v>
          </cell>
          <cell r="D17">
            <v>0.86250000000000004</v>
          </cell>
          <cell r="E17">
            <v>0</v>
          </cell>
          <cell r="F17">
            <v>4.2099999999999999E-2</v>
          </cell>
          <cell r="G17">
            <v>3.4331</v>
          </cell>
          <cell r="H17">
            <v>-0.121</v>
          </cell>
          <cell r="I17">
            <v>-0.16889999999999999</v>
          </cell>
          <cell r="K17">
            <v>-7.4399999999999522E-2</v>
          </cell>
          <cell r="L17">
            <v>3.6486000000000005</v>
          </cell>
          <cell r="M17" t="str">
            <v>R</v>
          </cell>
          <cell r="N17" t="str">
            <v>N</v>
          </cell>
          <cell r="O17" t="str">
            <v>R</v>
          </cell>
          <cell r="P17" t="str">
            <v>N</v>
          </cell>
          <cell r="Q17" t="str">
            <v>R</v>
          </cell>
        </row>
        <row r="18">
          <cell r="A18" t="str">
            <v>95-010 J</v>
          </cell>
          <cell r="B18">
            <v>35247</v>
          </cell>
          <cell r="C18">
            <v>2.6507999999999998</v>
          </cell>
          <cell r="D18">
            <v>0.85740000000000005</v>
          </cell>
          <cell r="E18">
            <v>0</v>
          </cell>
          <cell r="F18">
            <v>4.3499999999999997E-2</v>
          </cell>
          <cell r="G18">
            <v>3.4331</v>
          </cell>
          <cell r="H18">
            <v>-0.121</v>
          </cell>
          <cell r="I18">
            <v>-0.1172</v>
          </cell>
          <cell r="K18">
            <v>-0.11960000000000018</v>
          </cell>
          <cell r="L18">
            <v>3.5516999999999999</v>
          </cell>
          <cell r="M18" t="str">
            <v>R</v>
          </cell>
          <cell r="N18" t="str">
            <v>N</v>
          </cell>
          <cell r="O18" t="str">
            <v>I</v>
          </cell>
          <cell r="P18" t="str">
            <v>N</v>
          </cell>
          <cell r="Q18" t="str">
            <v>R</v>
          </cell>
        </row>
        <row r="19">
          <cell r="A19" t="str">
            <v>95-010 K</v>
          </cell>
          <cell r="B19">
            <v>35278</v>
          </cell>
          <cell r="C19">
            <v>2.8601999999999999</v>
          </cell>
          <cell r="D19">
            <v>0.85519999999999996</v>
          </cell>
          <cell r="E19">
            <v>0</v>
          </cell>
          <cell r="F19">
            <v>4.3499999999999997E-2</v>
          </cell>
          <cell r="G19">
            <v>3.4331</v>
          </cell>
          <cell r="H19">
            <v>-0.121</v>
          </cell>
          <cell r="I19">
            <v>-0.1172</v>
          </cell>
          <cell r="K19">
            <v>8.7599999999999997E-2</v>
          </cell>
          <cell r="L19">
            <v>3.7588999999999997</v>
          </cell>
          <cell r="M19" t="str">
            <v>I</v>
          </cell>
          <cell r="N19" t="str">
            <v>N</v>
          </cell>
          <cell r="O19" t="str">
            <v>N</v>
          </cell>
          <cell r="P19" t="str">
            <v>N</v>
          </cell>
          <cell r="Q19" t="str">
            <v>I</v>
          </cell>
        </row>
        <row r="20">
          <cell r="A20" t="str">
            <v>95-010 L</v>
          </cell>
          <cell r="B20">
            <v>35309</v>
          </cell>
          <cell r="C20">
            <v>2.4763999999999999</v>
          </cell>
          <cell r="D20">
            <v>0.88370000000000004</v>
          </cell>
          <cell r="E20">
            <v>0</v>
          </cell>
          <cell r="F20">
            <v>4.7500000000000001E-2</v>
          </cell>
          <cell r="G20">
            <v>3.4331</v>
          </cell>
          <cell r="H20">
            <v>-0.121</v>
          </cell>
          <cell r="I20">
            <v>-8.4899999999999989E-2</v>
          </cell>
          <cell r="K20">
            <v>-0.23140000000000005</v>
          </cell>
          <cell r="L20">
            <v>3.4076</v>
          </cell>
          <cell r="M20" t="str">
            <v>R</v>
          </cell>
          <cell r="N20" t="str">
            <v>N</v>
          </cell>
          <cell r="O20" t="str">
            <v>I</v>
          </cell>
          <cell r="P20" t="str">
            <v>N</v>
          </cell>
          <cell r="Q20" t="str">
            <v>R</v>
          </cell>
        </row>
        <row r="21">
          <cell r="A21" t="str">
            <v>95-010 M</v>
          </cell>
          <cell r="B21">
            <v>35339</v>
          </cell>
          <cell r="C21">
            <v>2.3786999999999998</v>
          </cell>
          <cell r="D21">
            <v>0.87540000000000007</v>
          </cell>
          <cell r="E21">
            <v>0</v>
          </cell>
          <cell r="F21">
            <v>4.99E-2</v>
          </cell>
          <cell r="G21">
            <v>3.4331</v>
          </cell>
          <cell r="H21">
            <v>-3.3999999999999998E-3</v>
          </cell>
          <cell r="I21">
            <v>-8.4899999999999989E-2</v>
          </cell>
          <cell r="K21">
            <v>-0.21740000000000001</v>
          </cell>
          <cell r="L21">
            <v>3.3039999999999998</v>
          </cell>
          <cell r="M21" t="str">
            <v>R</v>
          </cell>
          <cell r="N21" t="str">
            <v>I</v>
          </cell>
          <cell r="O21" t="str">
            <v>N</v>
          </cell>
          <cell r="P21" t="str">
            <v>N</v>
          </cell>
          <cell r="Q21" t="str">
            <v>I</v>
          </cell>
        </row>
        <row r="22">
          <cell r="A22" t="str">
            <v>95-010 N</v>
          </cell>
          <cell r="B22">
            <v>35370</v>
          </cell>
          <cell r="C22">
            <v>2.4285999999999999</v>
          </cell>
          <cell r="D22">
            <v>0.83779999999999999</v>
          </cell>
          <cell r="E22">
            <v>0</v>
          </cell>
          <cell r="F22">
            <v>4.9799999999999997E-2</v>
          </cell>
          <cell r="G22">
            <v>3.4331</v>
          </cell>
          <cell r="H22">
            <v>-3.3999999999999998E-3</v>
          </cell>
          <cell r="I22">
            <v>-7.8299999999999995E-2</v>
          </cell>
          <cell r="K22">
            <v>-0.19860000000000022</v>
          </cell>
          <cell r="L22">
            <v>3.3161999999999998</v>
          </cell>
          <cell r="M22" t="str">
            <v>I</v>
          </cell>
          <cell r="N22" t="str">
            <v>N</v>
          </cell>
          <cell r="O22" t="str">
            <v>I</v>
          </cell>
          <cell r="P22" t="str">
            <v>N</v>
          </cell>
          <cell r="Q22" t="str">
            <v>I</v>
          </cell>
        </row>
        <row r="23">
          <cell r="A23" t="str">
            <v>95-010 O</v>
          </cell>
          <cell r="B23">
            <v>35400</v>
          </cell>
          <cell r="C23">
            <v>2.8285</v>
          </cell>
          <cell r="D23">
            <v>0.81059999999999999</v>
          </cell>
          <cell r="E23">
            <v>0</v>
          </cell>
          <cell r="F23">
            <v>4.9799999999999997E-2</v>
          </cell>
          <cell r="G23">
            <v>3.4331</v>
          </cell>
          <cell r="H23">
            <v>-3.3999999999999998E-3</v>
          </cell>
          <cell r="I23">
            <v>-7.5600000000000001E-2</v>
          </cell>
          <cell r="K23">
            <v>0.17679999999999979</v>
          </cell>
          <cell r="L23">
            <v>3.6888999999999998</v>
          </cell>
          <cell r="M23" t="str">
            <v>I</v>
          </cell>
          <cell r="N23" t="str">
            <v>N</v>
          </cell>
          <cell r="O23" t="str">
            <v>I</v>
          </cell>
          <cell r="P23" t="str">
            <v>N</v>
          </cell>
          <cell r="Q23" t="str">
            <v>I</v>
          </cell>
        </row>
        <row r="24">
          <cell r="A24" t="str">
            <v>95-010 P</v>
          </cell>
          <cell r="B24">
            <v>35431</v>
          </cell>
          <cell r="C24">
            <v>3.1322999999999999</v>
          </cell>
          <cell r="D24">
            <v>0.81059999999999999</v>
          </cell>
          <cell r="E24">
            <v>0</v>
          </cell>
          <cell r="F24">
            <v>6.1899999999999997E-2</v>
          </cell>
          <cell r="G24">
            <v>3.4331</v>
          </cell>
          <cell r="H24">
            <v>-3.3999999999999998E-3</v>
          </cell>
          <cell r="I24">
            <v>-7.5600000000000001E-2</v>
          </cell>
          <cell r="K24">
            <v>0.49269999999999942</v>
          </cell>
          <cell r="L24">
            <v>4.0047999999999995</v>
          </cell>
          <cell r="M24" t="str">
            <v>I</v>
          </cell>
          <cell r="N24" t="str">
            <v>N</v>
          </cell>
          <cell r="O24" t="str">
            <v>N</v>
          </cell>
          <cell r="P24" t="str">
            <v>N</v>
          </cell>
          <cell r="Q24" t="str">
            <v>I</v>
          </cell>
        </row>
        <row r="25">
          <cell r="A25" t="str">
            <v>95-010 Q</v>
          </cell>
          <cell r="B25">
            <v>35462</v>
          </cell>
          <cell r="C25">
            <v>3.1871999999999998</v>
          </cell>
          <cell r="D25">
            <v>0.81059999999999999</v>
          </cell>
          <cell r="E25">
            <v>0</v>
          </cell>
          <cell r="F25">
            <v>6.1800000000000001E-2</v>
          </cell>
          <cell r="G25">
            <v>3.4331</v>
          </cell>
          <cell r="H25">
            <v>-3.3999999999999998E-3</v>
          </cell>
          <cell r="I25">
            <v>-7.5600000000000001E-2</v>
          </cell>
          <cell r="K25">
            <v>0.54749999999999999</v>
          </cell>
          <cell r="L25">
            <v>4.0595999999999997</v>
          </cell>
          <cell r="M25" t="str">
            <v>I</v>
          </cell>
          <cell r="N25" t="str">
            <v>N</v>
          </cell>
          <cell r="O25" t="str">
            <v>N</v>
          </cell>
          <cell r="P25" t="str">
            <v>N</v>
          </cell>
          <cell r="Q25" t="str">
            <v>I</v>
          </cell>
        </row>
        <row r="26">
          <cell r="A26" t="str">
            <v>95-010 R</v>
          </cell>
          <cell r="B26">
            <v>35490</v>
          </cell>
          <cell r="C26">
            <v>2.7440000000000002</v>
          </cell>
          <cell r="D26">
            <v>0.81090000000000007</v>
          </cell>
          <cell r="E26">
            <v>0</v>
          </cell>
          <cell r="F26">
            <v>6.1800000000000001E-2</v>
          </cell>
          <cell r="G26">
            <v>3.4331</v>
          </cell>
          <cell r="H26">
            <v>-3.3999999999999998E-3</v>
          </cell>
          <cell r="I26">
            <v>-7.5600000000000001E-2</v>
          </cell>
          <cell r="K26">
            <v>0.10460000000000021</v>
          </cell>
          <cell r="L26">
            <v>3.6167000000000002</v>
          </cell>
          <cell r="M26" t="str">
            <v>R</v>
          </cell>
          <cell r="N26" t="str">
            <v>N</v>
          </cell>
          <cell r="O26" t="str">
            <v>N</v>
          </cell>
          <cell r="P26" t="str">
            <v>N</v>
          </cell>
          <cell r="Q26" t="str">
            <v>R</v>
          </cell>
        </row>
        <row r="27">
          <cell r="A27" t="str">
            <v>95-010 S</v>
          </cell>
          <cell r="B27">
            <v>35521</v>
          </cell>
          <cell r="C27">
            <v>2.1516000000000002</v>
          </cell>
          <cell r="D27">
            <v>0.79519999999999991</v>
          </cell>
          <cell r="E27">
            <v>0</v>
          </cell>
          <cell r="F27">
            <v>6.1800000000000001E-2</v>
          </cell>
          <cell r="G27">
            <v>3.4331</v>
          </cell>
          <cell r="H27">
            <v>9.3799999999999994E-2</v>
          </cell>
          <cell r="I27">
            <v>-7.5600000000000001E-2</v>
          </cell>
          <cell r="K27">
            <v>-0.40630000000000011</v>
          </cell>
          <cell r="L27">
            <v>3.0085999999999999</v>
          </cell>
          <cell r="M27" t="str">
            <v>R</v>
          </cell>
          <cell r="N27" t="str">
            <v>I</v>
          </cell>
          <cell r="O27" t="str">
            <v>N</v>
          </cell>
          <cell r="P27" t="str">
            <v>N</v>
          </cell>
          <cell r="Q27" t="str">
            <v>R</v>
          </cell>
        </row>
        <row r="28">
          <cell r="A28" t="str">
            <v>95-010 T</v>
          </cell>
          <cell r="B28">
            <v>35551</v>
          </cell>
          <cell r="C28">
            <v>1.9819</v>
          </cell>
          <cell r="D28">
            <v>0.79519999999999991</v>
          </cell>
          <cell r="E28">
            <v>0</v>
          </cell>
          <cell r="F28">
            <v>6.1800000000000001E-2</v>
          </cell>
          <cell r="G28">
            <v>3.4331</v>
          </cell>
          <cell r="H28">
            <v>9.3799999999999994E-2</v>
          </cell>
          <cell r="I28">
            <v>-7.5600000000000001E-2</v>
          </cell>
          <cell r="K28">
            <v>-0.57599999999999996</v>
          </cell>
          <cell r="L28">
            <v>2.8388999999999998</v>
          </cell>
          <cell r="M28" t="str">
            <v>R</v>
          </cell>
          <cell r="N28" t="str">
            <v>N</v>
          </cell>
          <cell r="O28" t="str">
            <v>N</v>
          </cell>
          <cell r="P28" t="str">
            <v>N</v>
          </cell>
          <cell r="Q28" t="str">
            <v>R</v>
          </cell>
        </row>
        <row r="29">
          <cell r="A29" t="str">
            <v>95-010 U</v>
          </cell>
          <cell r="B29">
            <v>35582</v>
          </cell>
          <cell r="C29">
            <v>2.2673999999999999</v>
          </cell>
          <cell r="D29">
            <v>0.84510000000000007</v>
          </cell>
          <cell r="E29">
            <v>0</v>
          </cell>
          <cell r="F29">
            <v>5.2900000000000003E-2</v>
          </cell>
          <cell r="G29">
            <v>3.4331</v>
          </cell>
          <cell r="H29">
            <v>9.3799999999999994E-2</v>
          </cell>
          <cell r="I29">
            <v>-4.8799999999999996E-2</v>
          </cell>
          <cell r="K29">
            <v>-0.22270000000000006</v>
          </cell>
          <cell r="L29">
            <v>3.1654</v>
          </cell>
          <cell r="M29" t="str">
            <v>I</v>
          </cell>
          <cell r="N29" t="str">
            <v>N</v>
          </cell>
          <cell r="O29" t="str">
            <v>I</v>
          </cell>
          <cell r="P29" t="str">
            <v>N</v>
          </cell>
          <cell r="Q29" t="str">
            <v>I</v>
          </cell>
        </row>
        <row r="30">
          <cell r="A30" t="str">
            <v>95-010 V</v>
          </cell>
          <cell r="B30">
            <v>35612</v>
          </cell>
          <cell r="C30">
            <v>2.4232</v>
          </cell>
          <cell r="D30">
            <v>0.84510000000000007</v>
          </cell>
          <cell r="E30">
            <v>0</v>
          </cell>
          <cell r="F30">
            <v>5.2900000000000003E-2</v>
          </cell>
          <cell r="G30">
            <v>3.4331</v>
          </cell>
          <cell r="H30">
            <v>9.3799999999999994E-2</v>
          </cell>
          <cell r="I30">
            <v>-4.5299999999999993E-2</v>
          </cell>
          <cell r="K30">
            <v>-6.3399999999999887E-2</v>
          </cell>
          <cell r="L30">
            <v>3.3212000000000002</v>
          </cell>
          <cell r="M30" t="str">
            <v>I</v>
          </cell>
          <cell r="N30" t="str">
            <v>N</v>
          </cell>
          <cell r="O30" t="str">
            <v>I</v>
          </cell>
          <cell r="P30" t="str">
            <v>N</v>
          </cell>
          <cell r="Q30" t="str">
            <v>I</v>
          </cell>
        </row>
        <row r="31">
          <cell r="A31" t="str">
            <v>95-010 W</v>
          </cell>
          <cell r="B31">
            <v>35643</v>
          </cell>
          <cell r="C31">
            <v>2.6347999999999998</v>
          </cell>
          <cell r="D31">
            <v>0.98599999999999999</v>
          </cell>
          <cell r="E31">
            <v>0</v>
          </cell>
          <cell r="F31">
            <v>5.1999999999999998E-2</v>
          </cell>
          <cell r="G31">
            <v>3.4331</v>
          </cell>
          <cell r="H31">
            <v>9.3799999999999994E-2</v>
          </cell>
          <cell r="I31">
            <v>-4.5299999999999993E-2</v>
          </cell>
          <cell r="K31">
            <v>0.28820000000000001</v>
          </cell>
          <cell r="L31">
            <v>3.6728000000000001</v>
          </cell>
          <cell r="M31" t="str">
            <v>I</v>
          </cell>
          <cell r="N31" t="str">
            <v>N</v>
          </cell>
          <cell r="O31" t="str">
            <v>N</v>
          </cell>
          <cell r="P31" t="str">
            <v>N</v>
          </cell>
          <cell r="Q31" t="str">
            <v>I</v>
          </cell>
        </row>
        <row r="32">
          <cell r="A32" t="str">
            <v>95-010 X</v>
          </cell>
          <cell r="B32">
            <v>35674</v>
          </cell>
          <cell r="C32">
            <v>2.6177999999999999</v>
          </cell>
          <cell r="D32">
            <v>0.83379999999999999</v>
          </cell>
          <cell r="E32">
            <v>0</v>
          </cell>
          <cell r="F32">
            <v>5.1999999999999998E-2</v>
          </cell>
          <cell r="G32">
            <v>3.4331</v>
          </cell>
          <cell r="H32">
            <v>9.3799999999999994E-2</v>
          </cell>
          <cell r="I32">
            <v>-4.5299999999999993E-2</v>
          </cell>
          <cell r="K32">
            <v>0.11900000000000001</v>
          </cell>
          <cell r="L32">
            <v>3.5036</v>
          </cell>
          <cell r="M32" t="str">
            <v>R</v>
          </cell>
          <cell r="N32" t="str">
            <v>N</v>
          </cell>
          <cell r="O32" t="str">
            <v>N</v>
          </cell>
          <cell r="P32" t="str">
            <v>N</v>
          </cell>
          <cell r="Q32" t="str">
            <v>R</v>
          </cell>
        </row>
        <row r="33">
          <cell r="A33" t="str">
            <v>95-010 Y</v>
          </cell>
          <cell r="B33">
            <v>35704</v>
          </cell>
          <cell r="C33">
            <v>2.8130000000000002</v>
          </cell>
          <cell r="D33">
            <v>0.84150000000000003</v>
          </cell>
          <cell r="E33">
            <v>0</v>
          </cell>
          <cell r="F33">
            <v>5.9200000000000003E-2</v>
          </cell>
          <cell r="G33">
            <v>3.4331</v>
          </cell>
          <cell r="H33">
            <v>0.1211</v>
          </cell>
          <cell r="I33">
            <v>-4.5299999999999993E-2</v>
          </cell>
          <cell r="K33">
            <v>0.35640000000000016</v>
          </cell>
          <cell r="L33">
            <v>3.7137000000000002</v>
          </cell>
          <cell r="M33" t="str">
            <v>I</v>
          </cell>
          <cell r="N33" t="str">
            <v>I</v>
          </cell>
          <cell r="O33" t="str">
            <v>N</v>
          </cell>
          <cell r="P33" t="str">
            <v>N</v>
          </cell>
          <cell r="Q33" t="str">
            <v>I</v>
          </cell>
        </row>
        <row r="34">
          <cell r="A34" t="str">
            <v>95-010 Z</v>
          </cell>
          <cell r="B34">
            <v>35735</v>
          </cell>
          <cell r="C34">
            <v>3.9502000000000002</v>
          </cell>
          <cell r="D34">
            <v>0.84150000000000003</v>
          </cell>
          <cell r="E34">
            <v>0</v>
          </cell>
          <cell r="F34">
            <v>5.9200000000000003E-2</v>
          </cell>
          <cell r="G34">
            <v>3.4331</v>
          </cell>
          <cell r="H34">
            <v>0.1211</v>
          </cell>
          <cell r="I34">
            <v>-5.1899999999999995E-2</v>
          </cell>
          <cell r="K34">
            <v>1.4870000000000001</v>
          </cell>
          <cell r="L34">
            <v>4.8509000000000002</v>
          </cell>
          <cell r="M34" t="str">
            <v>I</v>
          </cell>
          <cell r="N34" t="str">
            <v>N</v>
          </cell>
          <cell r="O34" t="str">
            <v>R</v>
          </cell>
          <cell r="P34" t="str">
            <v>N</v>
          </cell>
          <cell r="Q34" t="str">
            <v>I</v>
          </cell>
        </row>
        <row r="35">
          <cell r="A35" t="str">
            <v>95-010 AA</v>
          </cell>
          <cell r="B35">
            <v>35765</v>
          </cell>
          <cell r="C35">
            <v>3.9398</v>
          </cell>
          <cell r="D35">
            <v>0.99509999999999998</v>
          </cell>
          <cell r="E35">
            <v>0</v>
          </cell>
          <cell r="F35">
            <v>5.9200000000000003E-2</v>
          </cell>
          <cell r="G35">
            <v>3.4331</v>
          </cell>
          <cell r="H35">
            <v>0.1211</v>
          </cell>
          <cell r="I35">
            <v>-5.1899999999999995E-2</v>
          </cell>
          <cell r="K35">
            <v>1.6301999999999994</v>
          </cell>
          <cell r="L35">
            <v>4.9940999999999995</v>
          </cell>
          <cell r="M35" t="str">
            <v>I</v>
          </cell>
          <cell r="N35" t="str">
            <v>N</v>
          </cell>
          <cell r="O35" t="str">
            <v>N</v>
          </cell>
          <cell r="P35" t="str">
            <v>N</v>
          </cell>
          <cell r="Q35" t="str">
            <v>I</v>
          </cell>
        </row>
        <row r="36">
          <cell r="A36" t="str">
            <v>95-010 BB</v>
          </cell>
          <cell r="B36">
            <v>35796</v>
          </cell>
          <cell r="C36">
            <v>3.0838000000000001</v>
          </cell>
          <cell r="D36">
            <v>0.99509999999999998</v>
          </cell>
          <cell r="E36">
            <v>0</v>
          </cell>
          <cell r="F36">
            <v>5.9200000000000003E-2</v>
          </cell>
          <cell r="G36">
            <v>3.4331</v>
          </cell>
          <cell r="H36">
            <v>0.1211</v>
          </cell>
          <cell r="I36">
            <v>-5.1899999999999995E-2</v>
          </cell>
          <cell r="K36">
            <v>0.77419999999999967</v>
          </cell>
          <cell r="L36">
            <v>4.1380999999999997</v>
          </cell>
          <cell r="M36" t="str">
            <v>R</v>
          </cell>
          <cell r="N36" t="str">
            <v>N</v>
          </cell>
          <cell r="O36" t="str">
            <v>N</v>
          </cell>
          <cell r="P36" t="str">
            <v>N</v>
          </cell>
          <cell r="Q36" t="str">
            <v>R</v>
          </cell>
        </row>
        <row r="37">
          <cell r="A37" t="str">
            <v>95-010 CC</v>
          </cell>
          <cell r="B37">
            <v>35827</v>
          </cell>
          <cell r="C37">
            <v>2.6434000000000002</v>
          </cell>
          <cell r="D37">
            <v>0.99509999999999998</v>
          </cell>
          <cell r="E37">
            <v>0</v>
          </cell>
          <cell r="F37">
            <v>5.9200000000000003E-2</v>
          </cell>
          <cell r="G37">
            <v>3.4331</v>
          </cell>
          <cell r="H37">
            <v>0.1211</v>
          </cell>
          <cell r="I37">
            <v>-5.3499999999999992E-2</v>
          </cell>
          <cell r="K37">
            <v>0.33220000000000016</v>
          </cell>
          <cell r="L37">
            <v>3.6977000000000002</v>
          </cell>
          <cell r="M37" t="str">
            <v>R</v>
          </cell>
          <cell r="N37" t="str">
            <v>N</v>
          </cell>
          <cell r="O37" t="str">
            <v>R</v>
          </cell>
          <cell r="P37" t="str">
            <v>N</v>
          </cell>
          <cell r="Q37" t="str">
            <v>R</v>
          </cell>
        </row>
        <row r="38">
          <cell r="A38" t="str">
            <v>95-010 DD</v>
          </cell>
          <cell r="B38">
            <v>35855</v>
          </cell>
          <cell r="C38">
            <v>2.4820000000000002</v>
          </cell>
          <cell r="D38">
            <v>0.87449999999999994</v>
          </cell>
          <cell r="E38">
            <v>0</v>
          </cell>
          <cell r="F38">
            <v>3.09E-2</v>
          </cell>
          <cell r="G38">
            <v>3.4331</v>
          </cell>
          <cell r="H38">
            <v>0.1211</v>
          </cell>
          <cell r="I38">
            <v>-5.3499999999999992E-2</v>
          </cell>
          <cell r="K38">
            <v>2.1899999999999933E-2</v>
          </cell>
          <cell r="L38">
            <v>3.3874</v>
          </cell>
          <cell r="M38" t="str">
            <v>R</v>
          </cell>
          <cell r="N38" t="str">
            <v>N</v>
          </cell>
          <cell r="O38" t="str">
            <v>N</v>
          </cell>
          <cell r="P38" t="str">
            <v>N</v>
          </cell>
          <cell r="Q38" t="str">
            <v>R</v>
          </cell>
        </row>
        <row r="39">
          <cell r="A39" t="str">
            <v>95-010 EE</v>
          </cell>
          <cell r="B39">
            <v>35886</v>
          </cell>
          <cell r="C39">
            <v>2.5598000000000001</v>
          </cell>
          <cell r="D39">
            <v>0.82040000000000002</v>
          </cell>
          <cell r="E39">
            <v>0</v>
          </cell>
          <cell r="F39">
            <v>1.8599999999999998E-2</v>
          </cell>
          <cell r="G39">
            <v>3.4331</v>
          </cell>
          <cell r="H39">
            <v>-0.1147</v>
          </cell>
          <cell r="I39">
            <v>-5.3499999999999992E-2</v>
          </cell>
          <cell r="K39">
            <v>-0.20250000000000001</v>
          </cell>
          <cell r="L39">
            <v>3.3988000000000005</v>
          </cell>
          <cell r="M39" t="str">
            <v>I</v>
          </cell>
          <cell r="N39" t="str">
            <v>R</v>
          </cell>
          <cell r="O39" t="str">
            <v>N</v>
          </cell>
          <cell r="P39" t="str">
            <v>N</v>
          </cell>
          <cell r="Q39" t="str">
            <v>R</v>
          </cell>
        </row>
        <row r="40">
          <cell r="A40" t="str">
            <v>95-010 FF</v>
          </cell>
          <cell r="B40">
            <v>35916</v>
          </cell>
          <cell r="C40">
            <v>2.7326000000000001</v>
          </cell>
          <cell r="D40">
            <v>0.82040000000000002</v>
          </cell>
          <cell r="E40">
            <v>0</v>
          </cell>
          <cell r="F40">
            <v>1.8599999999999998E-2</v>
          </cell>
          <cell r="G40">
            <v>3.4331</v>
          </cell>
          <cell r="H40">
            <v>-0.1147</v>
          </cell>
          <cell r="I40">
            <v>-5.3499999999999992E-2</v>
          </cell>
          <cell r="K40">
            <v>-2.9699999999999921E-2</v>
          </cell>
          <cell r="L40">
            <v>3.5716000000000001</v>
          </cell>
          <cell r="M40" t="str">
            <v>I</v>
          </cell>
          <cell r="N40" t="str">
            <v>N</v>
          </cell>
          <cell r="O40" t="str">
            <v>N</v>
          </cell>
          <cell r="P40" t="str">
            <v>N</v>
          </cell>
          <cell r="Q40" t="str">
            <v>I</v>
          </cell>
        </row>
        <row r="41">
          <cell r="A41" t="str">
            <v>95-010 GG</v>
          </cell>
          <cell r="B41">
            <v>35947</v>
          </cell>
          <cell r="C41">
            <v>2.8946999999999998</v>
          </cell>
          <cell r="D41">
            <v>0.82040000000000002</v>
          </cell>
          <cell r="E41">
            <v>0</v>
          </cell>
          <cell r="F41">
            <v>1.8599999999999998E-2</v>
          </cell>
          <cell r="G41">
            <v>3.4331</v>
          </cell>
          <cell r="H41">
            <v>-0.1147</v>
          </cell>
          <cell r="I41">
            <v>-1.9E-3</v>
          </cell>
          <cell r="K41">
            <v>0.18399999999999977</v>
          </cell>
          <cell r="L41">
            <v>3.7336999999999998</v>
          </cell>
          <cell r="M41" t="str">
            <v>I</v>
          </cell>
          <cell r="N41" t="str">
            <v>N</v>
          </cell>
          <cell r="O41" t="str">
            <v>I</v>
          </cell>
          <cell r="P41" t="str">
            <v>N</v>
          </cell>
          <cell r="Q41" t="str">
            <v>I</v>
          </cell>
        </row>
        <row r="42">
          <cell r="A42" t="str">
            <v>95-010 HH</v>
          </cell>
          <cell r="B42">
            <v>35977</v>
          </cell>
          <cell r="C42">
            <v>2.6385999999999998</v>
          </cell>
          <cell r="D42">
            <v>0.82040000000000002</v>
          </cell>
          <cell r="E42">
            <v>0</v>
          </cell>
          <cell r="F42">
            <v>1.8599999999999998E-2</v>
          </cell>
          <cell r="G42">
            <v>3.4331</v>
          </cell>
          <cell r="H42">
            <v>-0.1147</v>
          </cell>
          <cell r="I42">
            <v>-1.11E-2</v>
          </cell>
          <cell r="K42">
            <v>-8.1300000000000233E-2</v>
          </cell>
          <cell r="L42">
            <v>3.4775999999999998</v>
          </cell>
          <cell r="M42" t="str">
            <v>R</v>
          </cell>
          <cell r="N42" t="str">
            <v>N</v>
          </cell>
          <cell r="O42" t="str">
            <v>R</v>
          </cell>
          <cell r="P42" t="str">
            <v>N</v>
          </cell>
          <cell r="Q42" t="str">
            <v>R</v>
          </cell>
        </row>
        <row r="43">
          <cell r="A43" t="str">
            <v>95-010 II</v>
          </cell>
          <cell r="B43">
            <v>36008</v>
          </cell>
          <cell r="C43">
            <v>2.7168000000000001</v>
          </cell>
          <cell r="D43">
            <v>0.82040000000000002</v>
          </cell>
          <cell r="E43">
            <v>0</v>
          </cell>
          <cell r="F43">
            <v>1.8599999999999998E-2</v>
          </cell>
          <cell r="G43">
            <v>3.4331</v>
          </cell>
          <cell r="H43">
            <v>-0.1147</v>
          </cell>
          <cell r="I43">
            <v>-1.11E-2</v>
          </cell>
          <cell r="K43">
            <v>-3.0999999999995198E-3</v>
          </cell>
          <cell r="L43">
            <v>3.5558000000000005</v>
          </cell>
          <cell r="M43" t="str">
            <v>I</v>
          </cell>
          <cell r="N43" t="str">
            <v>N</v>
          </cell>
          <cell r="O43" t="str">
            <v>N</v>
          </cell>
          <cell r="P43" t="str">
            <v>N</v>
          </cell>
          <cell r="Q43" t="str">
            <v>I</v>
          </cell>
        </row>
        <row r="44">
          <cell r="A44" t="str">
            <v>95-010 JJ</v>
          </cell>
          <cell r="B44">
            <v>36039</v>
          </cell>
          <cell r="C44">
            <v>2.4003000000000001</v>
          </cell>
          <cell r="D44">
            <v>0.82040000000000002</v>
          </cell>
          <cell r="E44">
            <v>0</v>
          </cell>
          <cell r="F44">
            <v>1.8599999999999998E-2</v>
          </cell>
          <cell r="G44">
            <v>3.4331</v>
          </cell>
          <cell r="H44">
            <v>-0.1147</v>
          </cell>
          <cell r="I44">
            <v>-1.11E-2</v>
          </cell>
          <cell r="K44">
            <v>-0.3196</v>
          </cell>
          <cell r="L44">
            <v>3.2393000000000001</v>
          </cell>
          <cell r="M44" t="str">
            <v>R</v>
          </cell>
          <cell r="N44" t="str">
            <v>N</v>
          </cell>
          <cell r="O44" t="str">
            <v>N</v>
          </cell>
          <cell r="P44" t="str">
            <v>N</v>
          </cell>
          <cell r="Q44" t="str">
            <v>R</v>
          </cell>
        </row>
        <row r="45">
          <cell r="A45" t="str">
            <v>95-010 KK</v>
          </cell>
          <cell r="B45">
            <v>36069</v>
          </cell>
          <cell r="C45">
            <v>2.3995000000000002</v>
          </cell>
          <cell r="D45">
            <v>0.82040000000000002</v>
          </cell>
          <cell r="E45">
            <v>0</v>
          </cell>
          <cell r="F45">
            <v>1.8599999999999998E-2</v>
          </cell>
          <cell r="G45">
            <v>3.4331</v>
          </cell>
          <cell r="H45">
            <v>-0.311</v>
          </cell>
          <cell r="I45">
            <v>-2.41E-2</v>
          </cell>
          <cell r="K45">
            <v>-0.52969999999999984</v>
          </cell>
          <cell r="L45">
            <v>3.2385000000000002</v>
          </cell>
          <cell r="M45" t="str">
            <v>R</v>
          </cell>
          <cell r="N45" t="str">
            <v>R</v>
          </cell>
          <cell r="O45" t="str">
            <v>R</v>
          </cell>
          <cell r="P45" t="str">
            <v>N</v>
          </cell>
          <cell r="Q45" t="str">
            <v>R</v>
          </cell>
        </row>
        <row r="46">
          <cell r="A46" t="str">
            <v>95-010 LL</v>
          </cell>
          <cell r="B46">
            <v>36100</v>
          </cell>
          <cell r="C46">
            <v>2.7469000000000001</v>
          </cell>
          <cell r="D46">
            <v>0.75429999999999997</v>
          </cell>
          <cell r="E46">
            <v>0</v>
          </cell>
          <cell r="F46">
            <v>1.8599999999999998E-2</v>
          </cell>
          <cell r="G46">
            <v>3.4331</v>
          </cell>
          <cell r="H46">
            <v>-0.311</v>
          </cell>
          <cell r="I46">
            <v>-2.41E-2</v>
          </cell>
          <cell r="K46">
            <v>-0.24840000000000001</v>
          </cell>
          <cell r="L46">
            <v>3.5198</v>
          </cell>
          <cell r="M46" t="str">
            <v>I</v>
          </cell>
          <cell r="N46" t="str">
            <v>N</v>
          </cell>
          <cell r="O46" t="str">
            <v>N</v>
          </cell>
          <cell r="P46" t="str">
            <v>N</v>
          </cell>
          <cell r="Q46" t="str">
            <v>I</v>
          </cell>
        </row>
        <row r="47">
          <cell r="A47" t="str">
            <v>95-010 MM</v>
          </cell>
          <cell r="B47">
            <v>36130</v>
          </cell>
          <cell r="C47">
            <v>2.5857000000000001</v>
          </cell>
          <cell r="D47">
            <v>0.75429999999999997</v>
          </cell>
          <cell r="E47">
            <v>0</v>
          </cell>
          <cell r="F47">
            <v>1.8599999999999998E-2</v>
          </cell>
          <cell r="G47">
            <v>3.4331</v>
          </cell>
          <cell r="H47">
            <v>-0.311</v>
          </cell>
          <cell r="I47">
            <v>-2.41E-2</v>
          </cell>
          <cell r="K47">
            <v>-0.40960000000000002</v>
          </cell>
          <cell r="L47">
            <v>3.3586</v>
          </cell>
          <cell r="M47" t="str">
            <v>R</v>
          </cell>
          <cell r="N47" t="str">
            <v>N</v>
          </cell>
          <cell r="O47" t="str">
            <v>N</v>
          </cell>
          <cell r="P47" t="str">
            <v>N</v>
          </cell>
          <cell r="Q47" t="str">
            <v>R</v>
          </cell>
        </row>
        <row r="48">
          <cell r="A48" t="str">
            <v>95-010 NN</v>
          </cell>
          <cell r="B48">
            <v>36161</v>
          </cell>
          <cell r="C48">
            <v>2.4861</v>
          </cell>
          <cell r="D48">
            <v>0.75429999999999997</v>
          </cell>
          <cell r="E48">
            <v>0</v>
          </cell>
          <cell r="F48">
            <v>1.8599999999999998E-2</v>
          </cell>
          <cell r="G48">
            <v>3.4331</v>
          </cell>
          <cell r="H48">
            <v>-0.311</v>
          </cell>
          <cell r="I48">
            <v>-2.41E-2</v>
          </cell>
          <cell r="K48">
            <v>-0.50919999999999965</v>
          </cell>
          <cell r="L48">
            <v>3.2590000000000003</v>
          </cell>
          <cell r="M48" t="str">
            <v>R</v>
          </cell>
          <cell r="N48" t="str">
            <v>N</v>
          </cell>
          <cell r="O48" t="str">
            <v>N</v>
          </cell>
          <cell r="P48" t="str">
            <v>N</v>
          </cell>
          <cell r="Q48" t="str">
            <v>R</v>
          </cell>
        </row>
        <row r="49">
          <cell r="A49" t="str">
            <v>95-010 OO</v>
          </cell>
          <cell r="B49">
            <v>36192</v>
          </cell>
          <cell r="C49">
            <v>2.0943000000000001</v>
          </cell>
          <cell r="D49">
            <v>0.75429999999999997</v>
          </cell>
          <cell r="E49">
            <v>0</v>
          </cell>
          <cell r="F49">
            <v>1.8599999999999998E-2</v>
          </cell>
          <cell r="G49">
            <v>3.4331</v>
          </cell>
          <cell r="H49">
            <v>-0.311</v>
          </cell>
          <cell r="I49">
            <v>-2.2499999999999999E-2</v>
          </cell>
          <cell r="J49">
            <v>2.47E-2</v>
          </cell>
          <cell r="K49">
            <v>-0.87469999999999959</v>
          </cell>
          <cell r="L49">
            <v>2.8672000000000004</v>
          </cell>
          <cell r="M49" t="str">
            <v>R</v>
          </cell>
          <cell r="N49" t="str">
            <v>N</v>
          </cell>
          <cell r="O49" t="str">
            <v>I</v>
          </cell>
          <cell r="P49" t="str">
            <v>I</v>
          </cell>
          <cell r="Q49" t="str">
            <v>R</v>
          </cell>
        </row>
        <row r="50">
          <cell r="A50" t="str">
            <v>95-010 PP</v>
          </cell>
          <cell r="B50">
            <v>36220</v>
          </cell>
          <cell r="C50">
            <v>2.0348000000000002</v>
          </cell>
          <cell r="D50">
            <v>0.75429999999999997</v>
          </cell>
          <cell r="E50">
            <v>0</v>
          </cell>
          <cell r="F50">
            <v>1.8599999999999998E-2</v>
          </cell>
          <cell r="G50">
            <v>3.4331</v>
          </cell>
          <cell r="H50">
            <v>-0.311</v>
          </cell>
          <cell r="I50">
            <v>-2.2499999999999999E-2</v>
          </cell>
          <cell r="J50">
            <v>2.47E-2</v>
          </cell>
          <cell r="K50">
            <v>-0.93419999999999948</v>
          </cell>
          <cell r="L50">
            <v>2.8077000000000005</v>
          </cell>
          <cell r="M50" t="str">
            <v>R</v>
          </cell>
          <cell r="N50" t="str">
            <v>N</v>
          </cell>
          <cell r="O50" t="str">
            <v>N</v>
          </cell>
          <cell r="P50" t="str">
            <v>N</v>
          </cell>
          <cell r="Q50" t="str">
            <v>R</v>
          </cell>
        </row>
        <row r="51">
          <cell r="A51" t="str">
            <v>95-010 QQ</v>
          </cell>
          <cell r="B51">
            <v>36251</v>
          </cell>
          <cell r="C51">
            <v>1.9604999999999999</v>
          </cell>
          <cell r="D51">
            <v>0.75429999999999997</v>
          </cell>
          <cell r="E51">
            <v>0</v>
          </cell>
          <cell r="F51">
            <v>1.8599999999999998E-2</v>
          </cell>
          <cell r="G51">
            <v>3.4331</v>
          </cell>
          <cell r="H51">
            <v>-0.18820000000000001</v>
          </cell>
          <cell r="I51">
            <v>-6.54E-2</v>
          </cell>
          <cell r="J51">
            <v>2.47E-2</v>
          </cell>
          <cell r="K51">
            <v>-0.92859999999999998</v>
          </cell>
          <cell r="L51">
            <v>2.7334000000000001</v>
          </cell>
          <cell r="M51" t="str">
            <v>R</v>
          </cell>
          <cell r="N51" t="str">
            <v>I</v>
          </cell>
          <cell r="O51" t="str">
            <v>R</v>
          </cell>
          <cell r="P51" t="str">
            <v>N</v>
          </cell>
          <cell r="Q51" t="str">
            <v>I</v>
          </cell>
        </row>
        <row r="52">
          <cell r="A52" t="str">
            <v>95-010 RR</v>
          </cell>
          <cell r="B52">
            <v>36281</v>
          </cell>
          <cell r="C52">
            <v>1.8638999999999999</v>
          </cell>
          <cell r="D52">
            <v>0.75429999999999997</v>
          </cell>
          <cell r="E52">
            <v>0</v>
          </cell>
          <cell r="F52">
            <v>1.8599999999999998E-2</v>
          </cell>
          <cell r="G52">
            <v>3.4331</v>
          </cell>
          <cell r="H52">
            <v>-0.18820000000000001</v>
          </cell>
          <cell r="I52">
            <v>-6.54E-2</v>
          </cell>
          <cell r="J52">
            <v>2.47E-2</v>
          </cell>
          <cell r="K52">
            <v>-1.0251999999999999</v>
          </cell>
          <cell r="L52">
            <v>2.6368</v>
          </cell>
          <cell r="M52" t="str">
            <v>R</v>
          </cell>
          <cell r="N52" t="str">
            <v>N</v>
          </cell>
          <cell r="O52" t="str">
            <v>N</v>
          </cell>
          <cell r="P52" t="str">
            <v>N</v>
          </cell>
          <cell r="Q52" t="str">
            <v>R</v>
          </cell>
        </row>
        <row r="53">
          <cell r="A53" t="str">
            <v>95-010 SS</v>
          </cell>
          <cell r="B53">
            <v>36312</v>
          </cell>
          <cell r="C53">
            <v>2.2873999999999999</v>
          </cell>
          <cell r="D53">
            <v>0.75429999999999997</v>
          </cell>
          <cell r="E53">
            <v>0</v>
          </cell>
          <cell r="F53">
            <v>1.8599999999999998E-2</v>
          </cell>
          <cell r="G53">
            <v>3.4331</v>
          </cell>
          <cell r="H53">
            <v>-0.18820000000000001</v>
          </cell>
          <cell r="I53">
            <v>-6.54E-2</v>
          </cell>
          <cell r="J53">
            <v>2.47E-2</v>
          </cell>
          <cell r="K53">
            <v>-0.60170000000000023</v>
          </cell>
          <cell r="L53">
            <v>3.0602999999999998</v>
          </cell>
          <cell r="M53" t="str">
            <v>I</v>
          </cell>
          <cell r="N53" t="str">
            <v>N</v>
          </cell>
          <cell r="O53" t="str">
            <v>N</v>
          </cell>
          <cell r="P53" t="str">
            <v>N</v>
          </cell>
          <cell r="Q53" t="str">
            <v>I</v>
          </cell>
        </row>
        <row r="54">
          <cell r="A54" t="str">
            <v>95-010 TT</v>
          </cell>
          <cell r="B54">
            <v>36342</v>
          </cell>
          <cell r="C54">
            <v>2.6103999999999998</v>
          </cell>
          <cell r="D54">
            <v>0.75429999999999997</v>
          </cell>
          <cell r="E54">
            <v>0</v>
          </cell>
          <cell r="F54">
            <v>1.8599999999999998E-2</v>
          </cell>
          <cell r="G54">
            <v>3.4331</v>
          </cell>
          <cell r="H54">
            <v>-0.18820000000000001</v>
          </cell>
          <cell r="I54">
            <v>-5.5899999999999998E-2</v>
          </cell>
          <cell r="J54">
            <v>2.47E-2</v>
          </cell>
          <cell r="K54">
            <v>-0.26919999999999988</v>
          </cell>
          <cell r="L54">
            <v>3.3833000000000002</v>
          </cell>
          <cell r="M54" t="str">
            <v>I</v>
          </cell>
          <cell r="N54" t="str">
            <v>N</v>
          </cell>
          <cell r="O54" t="str">
            <v>I</v>
          </cell>
          <cell r="P54" t="str">
            <v>N</v>
          </cell>
          <cell r="Q54" t="str">
            <v>I</v>
          </cell>
        </row>
        <row r="55">
          <cell r="A55" t="str">
            <v>95-010 UU</v>
          </cell>
          <cell r="B55">
            <v>36373</v>
          </cell>
          <cell r="C55">
            <v>2.3969</v>
          </cell>
          <cell r="D55">
            <v>0.75429999999999997</v>
          </cell>
          <cell r="E55">
            <v>0</v>
          </cell>
          <cell r="F55">
            <v>1.8599999999999998E-2</v>
          </cell>
          <cell r="G55">
            <v>3.4331</v>
          </cell>
          <cell r="H55">
            <v>-0.18820000000000001</v>
          </cell>
          <cell r="I55">
            <v>-5.5899999999999998E-2</v>
          </cell>
          <cell r="J55">
            <v>2.47E-2</v>
          </cell>
          <cell r="K55">
            <v>-0.48269999999999968</v>
          </cell>
          <cell r="L55">
            <v>3.1698000000000004</v>
          </cell>
          <cell r="M55" t="str">
            <v>R</v>
          </cell>
          <cell r="N55" t="str">
            <v>N</v>
          </cell>
          <cell r="O55" t="str">
            <v>N</v>
          </cell>
          <cell r="P55" t="str">
            <v>N</v>
          </cell>
          <cell r="Q55" t="str">
            <v>R</v>
          </cell>
        </row>
        <row r="56">
          <cell r="A56" t="str">
            <v>95-010 VV</v>
          </cell>
          <cell r="B56">
            <v>36404</v>
          </cell>
          <cell r="C56">
            <v>2.3862000000000001</v>
          </cell>
          <cell r="D56">
            <v>0.75429999999999997</v>
          </cell>
          <cell r="E56">
            <v>0</v>
          </cell>
          <cell r="F56">
            <v>1.8599999999999998E-2</v>
          </cell>
          <cell r="G56">
            <v>3.4331</v>
          </cell>
          <cell r="H56">
            <v>-0.18820000000000001</v>
          </cell>
          <cell r="I56">
            <v>-5.5899999999999998E-2</v>
          </cell>
          <cell r="J56">
            <v>2.47E-2</v>
          </cell>
          <cell r="K56">
            <v>-0.49339999999999962</v>
          </cell>
          <cell r="L56">
            <v>3.1591000000000005</v>
          </cell>
          <cell r="M56" t="str">
            <v>R</v>
          </cell>
          <cell r="N56" t="str">
            <v>N</v>
          </cell>
          <cell r="O56" t="str">
            <v>N</v>
          </cell>
          <cell r="P56" t="str">
            <v>N</v>
          </cell>
          <cell r="Q56" t="str">
            <v>R</v>
          </cell>
        </row>
        <row r="57">
          <cell r="A57" t="str">
            <v>95-010 WW</v>
          </cell>
          <cell r="B57">
            <v>36434</v>
          </cell>
          <cell r="C57">
            <v>2.6629</v>
          </cell>
          <cell r="D57">
            <v>0.75429999999999997</v>
          </cell>
          <cell r="E57">
            <v>0</v>
          </cell>
          <cell r="F57">
            <v>1.8599999999999998E-2</v>
          </cell>
          <cell r="G57">
            <v>3.4331</v>
          </cell>
          <cell r="H57">
            <v>-0.22389999999999999</v>
          </cell>
          <cell r="I57">
            <v>-4.5200000000000004E-2</v>
          </cell>
          <cell r="J57">
            <v>2.47E-2</v>
          </cell>
          <cell r="K57">
            <v>-0.24169999999999964</v>
          </cell>
          <cell r="L57">
            <v>3.4358000000000004</v>
          </cell>
          <cell r="M57" t="str">
            <v>I</v>
          </cell>
          <cell r="N57" t="str">
            <v>R</v>
          </cell>
          <cell r="O57" t="str">
            <v>I</v>
          </cell>
          <cell r="P57" t="str">
            <v>N</v>
          </cell>
          <cell r="Q57" t="str">
            <v>I</v>
          </cell>
        </row>
        <row r="58">
          <cell r="A58" t="str">
            <v>95-010 XX</v>
          </cell>
          <cell r="B58">
            <v>36465</v>
          </cell>
          <cell r="C58">
            <v>2.9028</v>
          </cell>
          <cell r="D58">
            <v>0.76140000000000008</v>
          </cell>
          <cell r="E58">
            <v>0</v>
          </cell>
          <cell r="F58">
            <v>3.0000000000000001E-3</v>
          </cell>
          <cell r="G58">
            <v>3.4331</v>
          </cell>
          <cell r="H58">
            <v>-0.22389999999999999</v>
          </cell>
          <cell r="I58">
            <v>-4.5200000000000004E-2</v>
          </cell>
          <cell r="J58">
            <v>2.47E-2</v>
          </cell>
          <cell r="K58">
            <v>-1.0299999999999809E-2</v>
          </cell>
          <cell r="L58">
            <v>3.6672000000000002</v>
          </cell>
          <cell r="M58" t="str">
            <v>I</v>
          </cell>
          <cell r="N58" t="str">
            <v>N</v>
          </cell>
          <cell r="O58" t="str">
            <v>N</v>
          </cell>
          <cell r="P58" t="str">
            <v>N</v>
          </cell>
          <cell r="Q58" t="str">
            <v>I</v>
          </cell>
        </row>
        <row r="59">
          <cell r="A59" t="str">
            <v>95-010 YY</v>
          </cell>
          <cell r="B59">
            <v>36495</v>
          </cell>
          <cell r="C59">
            <v>2.9401000000000002</v>
          </cell>
          <cell r="D59">
            <v>0.75679999999999992</v>
          </cell>
          <cell r="E59">
            <v>0</v>
          </cell>
          <cell r="F59">
            <v>3.0000000000000001E-3</v>
          </cell>
          <cell r="G59">
            <v>3.4331</v>
          </cell>
          <cell r="H59">
            <v>-0.22389999999999999</v>
          </cell>
          <cell r="I59">
            <v>-4.5200000000000004E-2</v>
          </cell>
          <cell r="J59">
            <v>2.47E-2</v>
          </cell>
          <cell r="K59">
            <v>2.2400000000000364E-2</v>
          </cell>
          <cell r="L59">
            <v>3.6999000000000004</v>
          </cell>
          <cell r="M59" t="str">
            <v>I</v>
          </cell>
          <cell r="N59" t="str">
            <v>N</v>
          </cell>
          <cell r="O59" t="str">
            <v>N</v>
          </cell>
          <cell r="P59" t="str">
            <v>N</v>
          </cell>
          <cell r="Q59" t="str">
            <v>I</v>
          </cell>
        </row>
        <row r="60">
          <cell r="A60" t="str">
            <v>99-070</v>
          </cell>
          <cell r="B60">
            <v>36526</v>
          </cell>
          <cell r="C60">
            <v>2.4571999999999998</v>
          </cell>
          <cell r="D60">
            <v>0.75679999999999992</v>
          </cell>
          <cell r="E60">
            <v>0</v>
          </cell>
          <cell r="F60">
            <v>3.0000000000000001E-3</v>
          </cell>
          <cell r="G60">
            <v>0</v>
          </cell>
          <cell r="H60">
            <v>-0.22389999999999999</v>
          </cell>
          <cell r="I60">
            <v>-4.8000000000000001E-2</v>
          </cell>
          <cell r="J60">
            <v>2.47E-2</v>
          </cell>
          <cell r="K60">
            <v>2.9697999999999998</v>
          </cell>
          <cell r="L60">
            <v>3.2169999999999996</v>
          </cell>
          <cell r="M60" t="str">
            <v>R</v>
          </cell>
          <cell r="N60" t="str">
            <v>N</v>
          </cell>
          <cell r="O60" t="str">
            <v>R</v>
          </cell>
          <cell r="P60" t="str">
            <v>N</v>
          </cell>
          <cell r="Q60" t="str">
            <v>I</v>
          </cell>
        </row>
        <row r="61">
          <cell r="A61" t="str">
            <v>99-070 A</v>
          </cell>
          <cell r="B61">
            <v>36557</v>
          </cell>
          <cell r="C61">
            <v>2.5337000000000001</v>
          </cell>
          <cell r="D61">
            <v>0.76029999999999998</v>
          </cell>
          <cell r="E61">
            <v>0</v>
          </cell>
          <cell r="F61">
            <v>3.0000000000000001E-3</v>
          </cell>
          <cell r="G61">
            <v>0</v>
          </cell>
          <cell r="H61">
            <v>-0.22389999999999999</v>
          </cell>
          <cell r="I61">
            <v>-4.8000000000000001E-2</v>
          </cell>
          <cell r="J61">
            <v>9.3399999999999997E-2</v>
          </cell>
          <cell r="K61">
            <v>3.1185</v>
          </cell>
          <cell r="L61">
            <v>3.2970000000000002</v>
          </cell>
          <cell r="M61" t="str">
            <v>I</v>
          </cell>
          <cell r="N61" t="str">
            <v>N</v>
          </cell>
          <cell r="O61" t="str">
            <v>N</v>
          </cell>
          <cell r="P61" t="str">
            <v>I</v>
          </cell>
          <cell r="Q61" t="str">
            <v>I</v>
          </cell>
        </row>
        <row r="62">
          <cell r="A62" t="str">
            <v>1999-070 B</v>
          </cell>
          <cell r="B62">
            <v>36617</v>
          </cell>
          <cell r="C62">
            <v>2.5337000000000001</v>
          </cell>
          <cell r="D62">
            <v>0.76029999999999998</v>
          </cell>
          <cell r="E62">
            <v>0</v>
          </cell>
          <cell r="F62">
            <v>3.0000000000000001E-3</v>
          </cell>
          <cell r="G62">
            <v>0</v>
          </cell>
          <cell r="H62">
            <v>0</v>
          </cell>
          <cell r="I62">
            <v>-5.1000000000000004E-3</v>
          </cell>
          <cell r="J62">
            <v>9.3399999999999997E-2</v>
          </cell>
          <cell r="K62">
            <v>3.3853</v>
          </cell>
          <cell r="L62">
            <v>3.2970000000000002</v>
          </cell>
          <cell r="M62" t="str">
            <v>N</v>
          </cell>
          <cell r="N62" t="str">
            <v>I</v>
          </cell>
          <cell r="O62" t="str">
            <v>I</v>
          </cell>
          <cell r="P62" t="str">
            <v>N</v>
          </cell>
          <cell r="Q62" t="str">
            <v>I</v>
          </cell>
        </row>
        <row r="63">
          <cell r="A63" t="str">
            <v>1999-070 C</v>
          </cell>
          <cell r="B63">
            <v>36647</v>
          </cell>
          <cell r="C63">
            <v>2.5749</v>
          </cell>
          <cell r="D63">
            <v>0.76029999999999998</v>
          </cell>
          <cell r="E63">
            <v>0</v>
          </cell>
          <cell r="F63">
            <v>3.0000000000000001E-3</v>
          </cell>
          <cell r="G63">
            <v>0</v>
          </cell>
          <cell r="H63">
            <v>0.25019999999999998</v>
          </cell>
          <cell r="I63">
            <v>-5.1000000000000004E-3</v>
          </cell>
          <cell r="J63">
            <v>9.3399999999999997E-2</v>
          </cell>
          <cell r="K63">
            <v>3.6766999999999999</v>
          </cell>
          <cell r="L63">
            <v>3.3382000000000001</v>
          </cell>
          <cell r="M63" t="str">
            <v>I</v>
          </cell>
          <cell r="N63" t="str">
            <v>I</v>
          </cell>
          <cell r="O63" t="str">
            <v>N</v>
          </cell>
          <cell r="P63" t="str">
            <v>N</v>
          </cell>
          <cell r="Q63" t="str">
            <v>I</v>
          </cell>
        </row>
        <row r="64">
          <cell r="A64" t="str">
            <v>1999-070 D</v>
          </cell>
          <cell r="B64">
            <v>36708</v>
          </cell>
          <cell r="C64">
            <v>3.1747999999999998</v>
          </cell>
          <cell r="D64">
            <v>0.76029999999999998</v>
          </cell>
          <cell r="E64">
            <v>0</v>
          </cell>
          <cell r="F64">
            <v>3.0000000000000001E-3</v>
          </cell>
          <cell r="G64">
            <v>0</v>
          </cell>
          <cell r="H64">
            <v>0.25019999999999998</v>
          </cell>
          <cell r="I64">
            <v>-5.1000000000000004E-3</v>
          </cell>
          <cell r="J64">
            <v>9.3399999999999997E-2</v>
          </cell>
          <cell r="K64">
            <v>4.2766000000000002</v>
          </cell>
          <cell r="L64">
            <v>3.9380999999999999</v>
          </cell>
          <cell r="M64" t="str">
            <v>I</v>
          </cell>
          <cell r="N64" t="str">
            <v>N</v>
          </cell>
          <cell r="O64" t="str">
            <v>N</v>
          </cell>
          <cell r="P64" t="str">
            <v>N</v>
          </cell>
          <cell r="Q64" t="str">
            <v>I</v>
          </cell>
        </row>
        <row r="65">
          <cell r="A65" t="str">
            <v>1999-070 E</v>
          </cell>
          <cell r="B65">
            <v>36739</v>
          </cell>
          <cell r="C65">
            <v>4.6079999999999997</v>
          </cell>
          <cell r="D65">
            <v>0.76029999999999998</v>
          </cell>
          <cell r="E65">
            <v>0</v>
          </cell>
          <cell r="F65">
            <v>3.0000000000000001E-3</v>
          </cell>
          <cell r="G65">
            <v>0</v>
          </cell>
          <cell r="H65">
            <v>0.25019999999999998</v>
          </cell>
          <cell r="I65">
            <v>-1.6800000000000002E-2</v>
          </cell>
          <cell r="J65">
            <v>9.3399999999999997E-2</v>
          </cell>
          <cell r="K65">
            <v>5.6981000000000002</v>
          </cell>
          <cell r="L65">
            <v>5.3712999999999997</v>
          </cell>
          <cell r="M65" t="str">
            <v>I</v>
          </cell>
          <cell r="N65" t="str">
            <v>N</v>
          </cell>
          <cell r="O65" t="str">
            <v>R</v>
          </cell>
          <cell r="P65" t="str">
            <v>N</v>
          </cell>
          <cell r="Q65" t="str">
            <v>I</v>
          </cell>
        </row>
        <row r="66">
          <cell r="A66" t="str">
            <v>1999-070 F</v>
          </cell>
          <cell r="B66">
            <v>36800</v>
          </cell>
          <cell r="C66">
            <v>5.2323000000000004</v>
          </cell>
          <cell r="D66">
            <v>0.76029999999999998</v>
          </cell>
          <cell r="E66">
            <v>0</v>
          </cell>
          <cell r="F66">
            <v>3.0000000000000001E-3</v>
          </cell>
          <cell r="G66">
            <v>0</v>
          </cell>
          <cell r="H66">
            <v>0.25019999999999998</v>
          </cell>
          <cell r="I66">
            <v>-1.4500000000000001E-2</v>
          </cell>
          <cell r="J66">
            <v>9.3399999999999997E-2</v>
          </cell>
          <cell r="K66">
            <v>6.3247</v>
          </cell>
          <cell r="L66">
            <v>5.9956000000000005</v>
          </cell>
          <cell r="M66" t="str">
            <v>I</v>
          </cell>
          <cell r="N66" t="str">
            <v>N</v>
          </cell>
          <cell r="O66" t="str">
            <v>I</v>
          </cell>
          <cell r="P66" t="str">
            <v>N</v>
          </cell>
          <cell r="Q66" t="str">
            <v>I</v>
          </cell>
        </row>
        <row r="67">
          <cell r="A67" t="str">
            <v>1999-070 G</v>
          </cell>
          <cell r="B67">
            <v>36831</v>
          </cell>
          <cell r="C67">
            <v>5.5765000000000002</v>
          </cell>
          <cell r="D67">
            <v>0.9506</v>
          </cell>
          <cell r="E67">
            <v>0</v>
          </cell>
          <cell r="F67">
            <v>0</v>
          </cell>
          <cell r="G67">
            <v>0</v>
          </cell>
          <cell r="H67">
            <v>1.1344000000000001</v>
          </cell>
          <cell r="I67">
            <v>-1.4500000000000001E-2</v>
          </cell>
          <cell r="J67">
            <v>9.3399999999999997E-2</v>
          </cell>
          <cell r="K67">
            <v>7.7404000000000002</v>
          </cell>
          <cell r="L67">
            <v>6.5270999999999999</v>
          </cell>
          <cell r="M67" t="str">
            <v>I</v>
          </cell>
          <cell r="N67" t="str">
            <v>I</v>
          </cell>
          <cell r="O67" t="str">
            <v>N</v>
          </cell>
          <cell r="P67" t="str">
            <v>N</v>
          </cell>
          <cell r="Q67" t="str">
            <v>I</v>
          </cell>
        </row>
        <row r="68">
          <cell r="A68" t="str">
            <v>1999-070 H</v>
          </cell>
          <cell r="B68">
            <v>36923</v>
          </cell>
          <cell r="C68">
            <v>6.9600999999999997</v>
          </cell>
          <cell r="D68">
            <v>1.2250000000000001</v>
          </cell>
          <cell r="E68">
            <v>0</v>
          </cell>
          <cell r="F68">
            <v>0</v>
          </cell>
          <cell r="G68">
            <v>0</v>
          </cell>
          <cell r="H68">
            <v>1.1344000000000001</v>
          </cell>
          <cell r="I68">
            <v>-1.17E-2</v>
          </cell>
          <cell r="J68">
            <v>6.0199999999999997E-2</v>
          </cell>
          <cell r="K68">
            <v>9.3680000000000003</v>
          </cell>
          <cell r="L68">
            <v>8.1851000000000003</v>
          </cell>
          <cell r="M68" t="str">
            <v>I</v>
          </cell>
          <cell r="N68" t="str">
            <v>N</v>
          </cell>
          <cell r="O68" t="str">
            <v>I</v>
          </cell>
          <cell r="P68" t="str">
            <v>R</v>
          </cell>
          <cell r="Q68" t="str">
            <v>I</v>
          </cell>
        </row>
        <row r="69">
          <cell r="A69" t="str">
            <v>1999-070 I</v>
          </cell>
          <cell r="B69">
            <v>36951</v>
          </cell>
          <cell r="C69">
            <v>6.0629999999999997</v>
          </cell>
          <cell r="D69">
            <v>1.2250000000000001</v>
          </cell>
          <cell r="E69">
            <v>0</v>
          </cell>
          <cell r="F69">
            <v>0</v>
          </cell>
          <cell r="G69">
            <v>0</v>
          </cell>
          <cell r="H69">
            <v>1.1344000000000001</v>
          </cell>
          <cell r="I69">
            <v>-1.17E-2</v>
          </cell>
          <cell r="J69">
            <v>6.0199999999999997E-2</v>
          </cell>
          <cell r="K69">
            <v>8.4709000000000003</v>
          </cell>
          <cell r="L69">
            <v>7.2880000000000003</v>
          </cell>
          <cell r="M69" t="str">
            <v>R</v>
          </cell>
          <cell r="N69" t="str">
            <v>N</v>
          </cell>
          <cell r="O69" t="str">
            <v>N</v>
          </cell>
          <cell r="P69" t="str">
            <v>N</v>
          </cell>
          <cell r="Q69" t="str">
            <v>R</v>
          </cell>
        </row>
        <row r="70">
          <cell r="A70" t="str">
            <v>1999-070 J</v>
          </cell>
          <cell r="B70">
            <v>36982</v>
          </cell>
          <cell r="C70">
            <v>6.0091999999999999</v>
          </cell>
          <cell r="D70">
            <v>1.2250000000000001</v>
          </cell>
          <cell r="E70">
            <v>0</v>
          </cell>
          <cell r="F70">
            <v>0</v>
          </cell>
          <cell r="G70">
            <v>0</v>
          </cell>
          <cell r="H70">
            <v>1.1344000000000001</v>
          </cell>
          <cell r="I70">
            <v>-1.17E-2</v>
          </cell>
          <cell r="J70">
            <v>6.0199999999999997E-2</v>
          </cell>
          <cell r="K70">
            <v>8.4170999999999996</v>
          </cell>
          <cell r="L70">
            <v>7.2341999999999995</v>
          </cell>
          <cell r="M70" t="str">
            <v>R</v>
          </cell>
          <cell r="N70" t="str">
            <v>N</v>
          </cell>
          <cell r="O70" t="str">
            <v>N</v>
          </cell>
          <cell r="P70" t="str">
            <v>N</v>
          </cell>
          <cell r="Q70" t="str">
            <v>R</v>
          </cell>
        </row>
        <row r="71">
          <cell r="A71" t="str">
            <v>1999-070 K</v>
          </cell>
          <cell r="B71">
            <v>37012</v>
          </cell>
          <cell r="C71">
            <v>5.8128000000000002</v>
          </cell>
          <cell r="D71">
            <v>1.0611999999999999</v>
          </cell>
          <cell r="E71">
            <v>0</v>
          </cell>
          <cell r="F71">
            <v>0</v>
          </cell>
          <cell r="G71">
            <v>0</v>
          </cell>
          <cell r="H71">
            <v>1.4216</v>
          </cell>
          <cell r="I71">
            <v>-1.2200000000000001E-2</v>
          </cell>
          <cell r="J71">
            <v>6.0199999999999997E-2</v>
          </cell>
          <cell r="K71">
            <v>8.3436000000000003</v>
          </cell>
          <cell r="L71">
            <v>6.8740000000000006</v>
          </cell>
          <cell r="M71" t="str">
            <v>R</v>
          </cell>
          <cell r="N71" t="str">
            <v>I</v>
          </cell>
          <cell r="O71" t="str">
            <v>R</v>
          </cell>
          <cell r="P71" t="str">
            <v>N</v>
          </cell>
          <cell r="Q71" t="str">
            <v>R</v>
          </cell>
        </row>
        <row r="72">
          <cell r="A72" t="str">
            <v>1999-070 L</v>
          </cell>
          <cell r="B72">
            <v>37043</v>
          </cell>
          <cell r="C72">
            <v>5.6711</v>
          </cell>
          <cell r="D72">
            <v>1.0611999999999999</v>
          </cell>
          <cell r="E72">
            <v>0</v>
          </cell>
          <cell r="F72">
            <v>0</v>
          </cell>
          <cell r="G72">
            <v>0</v>
          </cell>
          <cell r="H72">
            <v>1.4216</v>
          </cell>
          <cell r="I72">
            <v>-1.2200000000000001E-2</v>
          </cell>
          <cell r="J72">
            <v>6.0199999999999997E-2</v>
          </cell>
          <cell r="K72">
            <v>8.2019000000000002</v>
          </cell>
          <cell r="L72">
            <v>6.7323000000000004</v>
          </cell>
          <cell r="M72" t="str">
            <v>R</v>
          </cell>
          <cell r="N72" t="str">
            <v>N</v>
          </cell>
          <cell r="O72" t="str">
            <v>N</v>
          </cell>
          <cell r="P72" t="str">
            <v>N</v>
          </cell>
          <cell r="Q72" t="str">
            <v>R</v>
          </cell>
        </row>
        <row r="73">
          <cell r="A73" t="str">
            <v>1999-070 M</v>
          </cell>
          <cell r="B73">
            <v>37073</v>
          </cell>
          <cell r="C73">
            <v>4.9177</v>
          </cell>
          <cell r="D73">
            <v>1.0611999999999999</v>
          </cell>
          <cell r="E73">
            <v>0</v>
          </cell>
          <cell r="F73">
            <v>0</v>
          </cell>
          <cell r="G73">
            <v>0</v>
          </cell>
          <cell r="H73">
            <v>1.4216</v>
          </cell>
          <cell r="I73">
            <v>-1.2200000000000001E-2</v>
          </cell>
          <cell r="J73">
            <v>6.0199999999999997E-2</v>
          </cell>
          <cell r="K73">
            <v>7.4484999999999992</v>
          </cell>
          <cell r="L73">
            <v>5.9788999999999994</v>
          </cell>
          <cell r="M73" t="str">
            <v>R</v>
          </cell>
          <cell r="N73" t="str">
            <v>N</v>
          </cell>
          <cell r="O73" t="str">
            <v>N</v>
          </cell>
          <cell r="P73" t="str">
            <v>N</v>
          </cell>
          <cell r="Q73" t="str">
            <v>R</v>
          </cell>
        </row>
        <row r="74">
          <cell r="A74" t="str">
            <v>1999-070 N</v>
          </cell>
          <cell r="B74">
            <v>37104</v>
          </cell>
          <cell r="C74">
            <v>4.3213999999999997</v>
          </cell>
          <cell r="D74">
            <v>1.0611999999999999</v>
          </cell>
          <cell r="E74">
            <v>0</v>
          </cell>
          <cell r="F74">
            <v>0</v>
          </cell>
          <cell r="G74">
            <v>0</v>
          </cell>
          <cell r="H74">
            <v>1.4216</v>
          </cell>
          <cell r="I74">
            <v>-5.0000000000000001E-4</v>
          </cell>
          <cell r="J74">
            <v>6.0199999999999997E-2</v>
          </cell>
          <cell r="K74">
            <v>6.8639000000000001</v>
          </cell>
          <cell r="L74">
            <v>5.3826000000000001</v>
          </cell>
          <cell r="M74" t="str">
            <v>R</v>
          </cell>
          <cell r="N74" t="str">
            <v>N</v>
          </cell>
          <cell r="O74" t="str">
            <v>I</v>
          </cell>
          <cell r="P74" t="str">
            <v>N</v>
          </cell>
          <cell r="Q74" t="str">
            <v>R</v>
          </cell>
        </row>
        <row r="75">
          <cell r="A75" t="str">
            <v>1999-070 O</v>
          </cell>
          <cell r="B75">
            <v>37196</v>
          </cell>
          <cell r="C75">
            <v>3.6354000000000002</v>
          </cell>
          <cell r="D75">
            <v>1.0611999999999999</v>
          </cell>
          <cell r="E75">
            <v>0</v>
          </cell>
          <cell r="F75">
            <v>0</v>
          </cell>
          <cell r="G75">
            <v>0</v>
          </cell>
          <cell r="H75">
            <v>0.1522</v>
          </cell>
          <cell r="I75">
            <v>-2.4000000000000002E-3</v>
          </cell>
          <cell r="J75">
            <v>6.0199999999999997E-2</v>
          </cell>
          <cell r="K75">
            <v>4.9066000000000001</v>
          </cell>
        </row>
        <row r="76">
          <cell r="A76" t="str">
            <v>1999-070 P</v>
          </cell>
          <cell r="B76">
            <v>37288</v>
          </cell>
          <cell r="C76">
            <v>3.34</v>
          </cell>
          <cell r="D76">
            <v>1.0611999999999999</v>
          </cell>
          <cell r="E76">
            <v>0</v>
          </cell>
          <cell r="F76">
            <v>0</v>
          </cell>
          <cell r="G76">
            <v>0</v>
          </cell>
          <cell r="H76">
            <v>3.8899999999999997E-2</v>
          </cell>
          <cell r="I76">
            <v>-2.4000000000000002E-3</v>
          </cell>
          <cell r="J76">
            <v>2.3699999999999999E-2</v>
          </cell>
          <cell r="K76">
            <v>4.4613999999999994</v>
          </cell>
        </row>
        <row r="77">
          <cell r="A77" t="str">
            <v>2002-00113</v>
          </cell>
          <cell r="B77">
            <v>37377</v>
          </cell>
          <cell r="C77">
            <v>3.5903999999999998</v>
          </cell>
          <cell r="D77">
            <v>1.0611999999999999</v>
          </cell>
          <cell r="E77">
            <v>0</v>
          </cell>
          <cell r="F77">
            <v>0</v>
          </cell>
          <cell r="G77">
            <v>0</v>
          </cell>
          <cell r="H77">
            <v>-0.2407</v>
          </cell>
          <cell r="I77">
            <v>-1.9E-3</v>
          </cell>
          <cell r="J77">
            <v>2.3699999999999999E-2</v>
          </cell>
          <cell r="K77">
            <v>4.4327000000000005</v>
          </cell>
        </row>
        <row r="78">
          <cell r="A78" t="str">
            <v>2002-00251</v>
          </cell>
          <cell r="B78">
            <v>37469</v>
          </cell>
          <cell r="C78">
            <v>3.5659999999999998</v>
          </cell>
          <cell r="D78">
            <v>1.0611999999999999</v>
          </cell>
          <cell r="E78">
            <v>0</v>
          </cell>
          <cell r="F78">
            <v>0</v>
          </cell>
          <cell r="G78">
            <v>0</v>
          </cell>
          <cell r="H78">
            <v>-0.2248</v>
          </cell>
          <cell r="I78">
            <v>-1.14E-2</v>
          </cell>
          <cell r="J78">
            <v>2.3699999999999999E-2</v>
          </cell>
          <cell r="K78">
            <v>4.4146999999999998</v>
          </cell>
        </row>
        <row r="79">
          <cell r="A79" t="str">
            <v>2002-00359</v>
          </cell>
          <cell r="B79">
            <v>37561</v>
          </cell>
          <cell r="C79">
            <v>4.0022000000000002</v>
          </cell>
          <cell r="D79">
            <v>0.96189999999999998</v>
          </cell>
          <cell r="E79">
            <v>0</v>
          </cell>
          <cell r="F79">
            <v>0</v>
          </cell>
          <cell r="G79">
            <v>0</v>
          </cell>
          <cell r="H79">
            <v>5.1999999999999998E-3</v>
          </cell>
          <cell r="I79">
            <v>-0.16690000000000002</v>
          </cell>
          <cell r="J79">
            <v>2.3699999999999999E-2</v>
          </cell>
          <cell r="K79">
            <v>4.8261000000000003</v>
          </cell>
        </row>
        <row r="80">
          <cell r="A80" t="str">
            <v>2003-00002</v>
          </cell>
          <cell r="B80">
            <v>37653</v>
          </cell>
          <cell r="C80">
            <v>4.4122000000000003</v>
          </cell>
          <cell r="D80">
            <v>1.0845</v>
          </cell>
          <cell r="E80">
            <v>0</v>
          </cell>
          <cell r="F80">
            <v>0</v>
          </cell>
          <cell r="G80">
            <v>0</v>
          </cell>
          <cell r="H80">
            <v>0.1686</v>
          </cell>
          <cell r="I80">
            <v>-0.16690000000000002</v>
          </cell>
          <cell r="J80">
            <v>7.4700000000000003E-2</v>
          </cell>
          <cell r="K80">
            <v>5.1513</v>
          </cell>
        </row>
        <row r="81">
          <cell r="A81" t="str">
            <v>2003-00083</v>
          </cell>
          <cell r="B81">
            <v>37713</v>
          </cell>
          <cell r="C81">
            <v>6.6096000000000004</v>
          </cell>
          <cell r="D81">
            <v>1.0845</v>
          </cell>
          <cell r="E81">
            <v>0</v>
          </cell>
          <cell r="F81">
            <v>0</v>
          </cell>
          <cell r="G81">
            <v>0</v>
          </cell>
          <cell r="H81">
            <v>0.1686</v>
          </cell>
          <cell r="I81">
            <v>-0.16690000000000002</v>
          </cell>
          <cell r="J81">
            <v>7.4700000000000003E-2</v>
          </cell>
          <cell r="K81">
            <v>7.7705000000000002</v>
          </cell>
        </row>
        <row r="82">
          <cell r="A82" t="str">
            <v>2003-00126</v>
          </cell>
          <cell r="B82" t="str">
            <v>05/01/03</v>
          </cell>
          <cell r="C82">
            <v>5.5705</v>
          </cell>
          <cell r="D82">
            <v>1.0845</v>
          </cell>
          <cell r="E82">
            <v>0</v>
          </cell>
          <cell r="F82">
            <v>0</v>
          </cell>
          <cell r="G82">
            <v>0</v>
          </cell>
          <cell r="H82">
            <v>0.21640000000000001</v>
          </cell>
          <cell r="I82">
            <v>-0.16690000000000002</v>
          </cell>
          <cell r="J82">
            <v>7.4700000000000003E-2</v>
          </cell>
          <cell r="K82">
            <v>6.7792000000000003</v>
          </cell>
        </row>
        <row r="83">
          <cell r="A83" t="str">
            <v>2003-00258</v>
          </cell>
          <cell r="B83">
            <v>37834</v>
          </cell>
          <cell r="C83">
            <v>6.3529999999999998</v>
          </cell>
          <cell r="D83">
            <v>1.0658000000000001</v>
          </cell>
          <cell r="E83">
            <v>0</v>
          </cell>
          <cell r="F83">
            <v>0</v>
          </cell>
          <cell r="G83">
            <v>0</v>
          </cell>
          <cell r="H83">
            <v>0.45200000000000001</v>
          </cell>
          <cell r="I83">
            <v>-0.15740000000000001</v>
          </cell>
          <cell r="J83">
            <v>7.4700000000000003E-2</v>
          </cell>
          <cell r="K83">
            <v>7.7881</v>
          </cell>
        </row>
        <row r="84">
          <cell r="A84" t="str">
            <v>2003-00377</v>
          </cell>
          <cell r="B84">
            <v>37926</v>
          </cell>
          <cell r="C84">
            <v>5.6509999999999998</v>
          </cell>
          <cell r="D84">
            <v>1.0759000000000001</v>
          </cell>
          <cell r="E84">
            <v>0</v>
          </cell>
          <cell r="F84">
            <v>0</v>
          </cell>
          <cell r="G84">
            <v>0</v>
          </cell>
          <cell r="H84">
            <v>0.54669999999999996</v>
          </cell>
          <cell r="I84">
            <v>-5.9999999999999995E-4</v>
          </cell>
          <cell r="J84">
            <v>7.4700000000000003E-2</v>
          </cell>
          <cell r="K84">
            <v>7.3476999999999997</v>
          </cell>
        </row>
        <row r="85">
          <cell r="A85" t="str">
            <v>2003-00504</v>
          </cell>
          <cell r="B85">
            <v>38018</v>
          </cell>
          <cell r="C85">
            <v>5.9219999999999997</v>
          </cell>
          <cell r="D85">
            <v>1.0759000000000001</v>
          </cell>
          <cell r="E85">
            <v>0</v>
          </cell>
          <cell r="F85">
            <v>0</v>
          </cell>
          <cell r="G85">
            <v>0</v>
          </cell>
          <cell r="H85">
            <v>0.5554</v>
          </cell>
          <cell r="I85">
            <v>-5.9999999999999995E-4</v>
          </cell>
          <cell r="J85">
            <v>6.1199999999999997E-2</v>
          </cell>
          <cell r="K85">
            <v>7.6138999999999992</v>
          </cell>
        </row>
        <row r="86">
          <cell r="A86" t="str">
            <v>2004-00122</v>
          </cell>
          <cell r="B86">
            <v>38108</v>
          </cell>
          <cell r="C86">
            <v>6.0660999999999996</v>
          </cell>
          <cell r="D86">
            <v>1.0759000000000001</v>
          </cell>
          <cell r="E86">
            <v>0</v>
          </cell>
          <cell r="F86">
            <v>0</v>
          </cell>
          <cell r="G86">
            <v>0</v>
          </cell>
          <cell r="H86">
            <v>0.14910000000000001</v>
          </cell>
          <cell r="I86">
            <v>-5.9999999999999995E-4</v>
          </cell>
          <cell r="J86">
            <v>6.1199999999999997E-2</v>
          </cell>
          <cell r="K86">
            <v>7.3516999999999992</v>
          </cell>
        </row>
        <row r="87">
          <cell r="A87" t="str">
            <v>2004-00269</v>
          </cell>
          <cell r="B87">
            <v>38200</v>
          </cell>
          <cell r="C87">
            <v>7.0430999999999999</v>
          </cell>
          <cell r="D87">
            <v>1.0759000000000001</v>
          </cell>
          <cell r="E87">
            <v>0</v>
          </cell>
          <cell r="F87">
            <v>0</v>
          </cell>
          <cell r="G87">
            <v>0</v>
          </cell>
          <cell r="H87">
            <v>0.1148</v>
          </cell>
          <cell r="I87">
            <v>-5.4000000000000003E-3</v>
          </cell>
          <cell r="J87">
            <v>6.1199999999999997E-2</v>
          </cell>
          <cell r="K87">
            <v>8.2896000000000001</v>
          </cell>
        </row>
        <row r="88">
          <cell r="A88" t="str">
            <v>2004-00398</v>
          </cell>
          <cell r="B88">
            <v>38292</v>
          </cell>
          <cell r="C88">
            <v>6.8804999999999996</v>
          </cell>
          <cell r="D88">
            <v>1.0718000000000001</v>
          </cell>
          <cell r="E88">
            <v>0</v>
          </cell>
          <cell r="F88">
            <v>0</v>
          </cell>
          <cell r="G88">
            <v>0</v>
          </cell>
          <cell r="H88">
            <v>0.2064</v>
          </cell>
          <cell r="I88">
            <v>-4.7999999999999996E-3</v>
          </cell>
          <cell r="J88">
            <v>6.1199999999999997E-2</v>
          </cell>
          <cell r="K88">
            <v>8.2150999999999996</v>
          </cell>
        </row>
        <row r="89">
          <cell r="A89" t="str">
            <v>2005-00013</v>
          </cell>
          <cell r="B89">
            <v>38384</v>
          </cell>
          <cell r="C89">
            <v>6.7214999999999998</v>
          </cell>
          <cell r="D89">
            <v>1.0718000000000001</v>
          </cell>
          <cell r="E89">
            <v>0</v>
          </cell>
          <cell r="F89">
            <v>0</v>
          </cell>
          <cell r="G89">
            <v>0</v>
          </cell>
          <cell r="H89">
            <v>0.3876</v>
          </cell>
          <cell r="I89">
            <v>-4.7999999999999996E-3</v>
          </cell>
          <cell r="J89">
            <v>4.48E-2</v>
          </cell>
          <cell r="K89">
            <v>8.2209000000000003</v>
          </cell>
        </row>
        <row r="90">
          <cell r="A90" t="str">
            <v>2005-00139</v>
          </cell>
          <cell r="B90">
            <v>38473</v>
          </cell>
          <cell r="C90">
            <v>8.0664999999999996</v>
          </cell>
          <cell r="D90">
            <v>1.0718000000000001</v>
          </cell>
          <cell r="E90">
            <v>0</v>
          </cell>
          <cell r="F90">
            <v>0</v>
          </cell>
          <cell r="G90">
            <v>0</v>
          </cell>
          <cell r="H90">
            <v>0.34960000000000002</v>
          </cell>
          <cell r="I90">
            <v>-4.7999999999999996E-3</v>
          </cell>
          <cell r="J90">
            <v>4.48E-2</v>
          </cell>
          <cell r="K90">
            <v>9.5278999999999989</v>
          </cell>
        </row>
        <row r="91">
          <cell r="A91" t="str">
            <v>2005-00271</v>
          </cell>
          <cell r="B91">
            <v>38565</v>
          </cell>
          <cell r="C91">
            <v>8.327</v>
          </cell>
          <cell r="D91">
            <v>1.0718000000000001</v>
          </cell>
          <cell r="E91">
            <v>0</v>
          </cell>
          <cell r="F91">
            <v>0</v>
          </cell>
          <cell r="G91">
            <v>0</v>
          </cell>
          <cell r="H91">
            <v>5.7599999999999998E-2</v>
          </cell>
          <cell r="I91">
            <v>-4.7999999999999996E-3</v>
          </cell>
          <cell r="J91">
            <v>4.48E-2</v>
          </cell>
          <cell r="K91">
            <v>9.4963999999999995</v>
          </cell>
        </row>
        <row r="92">
          <cell r="A92" t="str">
            <v>2005-00354</v>
          </cell>
          <cell r="B92">
            <v>38626</v>
          </cell>
          <cell r="C92">
            <v>10.2639</v>
          </cell>
          <cell r="D92">
            <v>1.0718000000000001</v>
          </cell>
          <cell r="E92">
            <v>0</v>
          </cell>
          <cell r="F92">
            <v>0</v>
          </cell>
          <cell r="G92">
            <v>0</v>
          </cell>
          <cell r="H92">
            <v>5.7599999999999998E-2</v>
          </cell>
          <cell r="I92">
            <v>-4.7999999999999996E-3</v>
          </cell>
          <cell r="J92">
            <v>4.48E-2</v>
          </cell>
          <cell r="K92">
            <v>11.433300000000001</v>
          </cell>
        </row>
        <row r="93">
          <cell r="A93" t="str">
            <v>2005-00399</v>
          </cell>
          <cell r="B93">
            <v>38657</v>
          </cell>
          <cell r="C93">
            <v>9.9666999999999994</v>
          </cell>
          <cell r="D93">
            <v>1.0718000000000001</v>
          </cell>
          <cell r="E93">
            <v>0</v>
          </cell>
          <cell r="F93">
            <v>0</v>
          </cell>
          <cell r="G93">
            <v>0</v>
          </cell>
          <cell r="H93">
            <v>0.40460000000000002</v>
          </cell>
          <cell r="I93">
            <v>-1.6999999999999999E-3</v>
          </cell>
          <cell r="J93">
            <v>4.48E-2</v>
          </cell>
          <cell r="K93">
            <v>11.486199999999998</v>
          </cell>
        </row>
        <row r="94">
          <cell r="A94" t="str">
            <v>2005-00552</v>
          </cell>
          <cell r="B94">
            <v>38749</v>
          </cell>
          <cell r="C94">
            <v>10.3019</v>
          </cell>
          <cell r="D94">
            <v>1.2622</v>
          </cell>
          <cell r="E94">
            <v>0</v>
          </cell>
          <cell r="F94">
            <v>0</v>
          </cell>
          <cell r="G94">
            <v>0</v>
          </cell>
          <cell r="H94">
            <v>0.77170000000000005</v>
          </cell>
          <cell r="I94">
            <v>-1.6999999999999999E-3</v>
          </cell>
          <cell r="J94">
            <v>3.9899999999999998E-2</v>
          </cell>
          <cell r="K94">
            <v>12.373999999999999</v>
          </cell>
        </row>
        <row r="95">
          <cell r="A95" t="str">
            <v>2006-00135</v>
          </cell>
          <cell r="B95">
            <v>38838</v>
          </cell>
          <cell r="C95">
            <v>7.9545000000000003</v>
          </cell>
          <cell r="D95">
            <v>1.0571999999999999</v>
          </cell>
          <cell r="E95">
            <v>0</v>
          </cell>
          <cell r="F95">
            <v>0</v>
          </cell>
          <cell r="G95">
            <v>0</v>
          </cell>
          <cell r="H95">
            <v>0.29880000000000001</v>
          </cell>
          <cell r="I95">
            <v>-1.6999999999999999E-3</v>
          </cell>
          <cell r="J95">
            <v>3.9899999999999998E-2</v>
          </cell>
          <cell r="K95">
            <v>9.3487000000000009</v>
          </cell>
        </row>
        <row r="96">
          <cell r="A96" t="str">
            <v>2006-00324</v>
          </cell>
          <cell r="B96">
            <v>38930</v>
          </cell>
          <cell r="C96">
            <v>7.7975000000000003</v>
          </cell>
          <cell r="D96">
            <v>1.0571999999999999</v>
          </cell>
          <cell r="E96">
            <v>0</v>
          </cell>
          <cell r="F96">
            <v>0</v>
          </cell>
          <cell r="G96">
            <v>0</v>
          </cell>
          <cell r="H96">
            <v>-0.1749</v>
          </cell>
          <cell r="I96">
            <v>-1.6999999999999999E-3</v>
          </cell>
          <cell r="J96">
            <v>3.9899999999999998E-2</v>
          </cell>
          <cell r="K96">
            <v>8.7180000000000017</v>
          </cell>
          <cell r="L96" t="str">
            <v>Source: Exhibit A</v>
          </cell>
        </row>
        <row r="97">
          <cell r="A97" t="str">
            <v>2006-00428</v>
          </cell>
          <cell r="B97">
            <v>39022</v>
          </cell>
          <cell r="C97">
            <v>8.0540000000000003</v>
          </cell>
          <cell r="D97">
            <v>1.0571999999999999</v>
          </cell>
          <cell r="E97">
            <v>0</v>
          </cell>
          <cell r="F97">
            <v>0</v>
          </cell>
          <cell r="G97">
            <v>0</v>
          </cell>
          <cell r="H97">
            <v>-0.30880000000000002</v>
          </cell>
          <cell r="I97">
            <v>-5.5399999999999998E-2</v>
          </cell>
          <cell r="J97">
            <v>3.9899999999999998E-2</v>
          </cell>
          <cell r="K97">
            <v>8.7868999999999993</v>
          </cell>
          <cell r="L97" t="str">
            <v>Source: Exhibit A</v>
          </cell>
        </row>
        <row r="98">
          <cell r="A98" t="str">
            <v>End of Database</v>
          </cell>
        </row>
      </sheetData>
      <sheetData sheetId="37">
        <row r="7">
          <cell r="A7" t="str">
            <v>Case No.</v>
          </cell>
          <cell r="B7" t="str">
            <v>Effective</v>
          </cell>
          <cell r="C7" t="str">
            <v>Commodity</v>
          </cell>
          <cell r="D7" t="str">
            <v>Demand</v>
          </cell>
          <cell r="E7" t="str">
            <v>TOP</v>
          </cell>
          <cell r="F7" t="str">
            <v>Transition</v>
          </cell>
          <cell r="G7" t="str">
            <v>BCOG</v>
          </cell>
          <cell r="H7" t="str">
            <v>CF</v>
          </cell>
          <cell r="I7" t="str">
            <v>RF</v>
          </cell>
          <cell r="J7" t="str">
            <v>PBRRF</v>
          </cell>
          <cell r="K7" t="str">
            <v>GCA</v>
          </cell>
          <cell r="L7" t="str">
            <v>HLF</v>
          </cell>
        </row>
        <row r="8">
          <cell r="A8" t="str">
            <v>95-010</v>
          </cell>
          <cell r="B8">
            <v>34943</v>
          </cell>
          <cell r="C8">
            <v>1.6283000000000001</v>
          </cell>
          <cell r="D8">
            <v>0.28760000000000002</v>
          </cell>
          <cell r="E8">
            <v>8.2000000000000007E-3</v>
          </cell>
          <cell r="F8">
            <v>0.13819999999999999</v>
          </cell>
          <cell r="G8">
            <v>2.6513</v>
          </cell>
          <cell r="H8">
            <v>2.86E-2</v>
          </cell>
          <cell r="I8">
            <v>-0.26279999999999998</v>
          </cell>
          <cell r="K8">
            <v>-0.82319999999999993</v>
          </cell>
          <cell r="L8">
            <v>5.5145</v>
          </cell>
          <cell r="M8">
            <v>2.0623</v>
          </cell>
          <cell r="N8" t="str">
            <v>I</v>
          </cell>
          <cell r="O8" t="str">
            <v>I</v>
          </cell>
          <cell r="P8" t="str">
            <v>R</v>
          </cell>
          <cell r="Q8" t="str">
            <v>N</v>
          </cell>
          <cell r="R8" t="str">
            <v>R</v>
          </cell>
          <cell r="S8" t="str">
            <v>I</v>
          </cell>
        </row>
        <row r="9">
          <cell r="A9" t="str">
            <v>95-010 A</v>
          </cell>
          <cell r="B9">
            <v>34999</v>
          </cell>
          <cell r="C9" t="str">
            <v>NA</v>
          </cell>
          <cell r="D9" t="str">
            <v>NA</v>
          </cell>
          <cell r="E9" t="str">
            <v>NA</v>
          </cell>
          <cell r="F9" t="str">
            <v>NA</v>
          </cell>
          <cell r="G9" t="str">
            <v>NA</v>
          </cell>
          <cell r="H9" t="str">
            <v>NA</v>
          </cell>
          <cell r="I9" t="str">
            <v>NA</v>
          </cell>
          <cell r="K9" t="str">
            <v>NA</v>
          </cell>
          <cell r="L9" t="str">
            <v>NA</v>
          </cell>
          <cell r="M9">
            <v>0</v>
          </cell>
          <cell r="N9" t="str">
            <v>R</v>
          </cell>
          <cell r="O9" t="str">
            <v>R</v>
          </cell>
          <cell r="P9" t="str">
            <v>I</v>
          </cell>
          <cell r="Q9" t="str">
            <v>N</v>
          </cell>
          <cell r="R9" t="str">
            <v>I</v>
          </cell>
          <cell r="S9" t="str">
            <v>R</v>
          </cell>
        </row>
        <row r="10">
          <cell r="A10" t="str">
            <v>95-010 B</v>
          </cell>
          <cell r="B10">
            <v>35004</v>
          </cell>
          <cell r="C10">
            <v>1.9550000000000001</v>
          </cell>
          <cell r="D10">
            <v>0.28760000000000002</v>
          </cell>
          <cell r="E10">
            <v>8.2000000000000007E-3</v>
          </cell>
          <cell r="F10">
            <v>7.7499999999999999E-2</v>
          </cell>
          <cell r="G10">
            <v>2.6513</v>
          </cell>
          <cell r="H10">
            <v>-0.16750000000000001</v>
          </cell>
          <cell r="I10">
            <v>-0.21329999999999999</v>
          </cell>
          <cell r="K10">
            <v>-0.70379999999999998</v>
          </cell>
          <cell r="L10">
            <v>5.6445999999999996</v>
          </cell>
          <cell r="M10">
            <v>2.3283</v>
          </cell>
          <cell r="N10" t="str">
            <v>I</v>
          </cell>
          <cell r="O10" t="str">
            <v>R</v>
          </cell>
          <cell r="P10" t="str">
            <v>R</v>
          </cell>
          <cell r="Q10" t="str">
            <v>N</v>
          </cell>
          <cell r="R10" t="str">
            <v>R</v>
          </cell>
          <cell r="S10" t="str">
            <v>I</v>
          </cell>
        </row>
        <row r="11">
          <cell r="A11" t="str">
            <v>95-010 C</v>
          </cell>
          <cell r="B11">
            <v>35034</v>
          </cell>
          <cell r="C11">
            <v>2.0304000000000002</v>
          </cell>
          <cell r="D11">
            <v>0.28760000000000002</v>
          </cell>
          <cell r="E11">
            <v>8.2000000000000007E-3</v>
          </cell>
          <cell r="F11">
            <v>7.46E-2</v>
          </cell>
          <cell r="G11">
            <v>2.6513</v>
          </cell>
          <cell r="H11">
            <v>-0.16750000000000001</v>
          </cell>
          <cell r="I11">
            <v>-0.216</v>
          </cell>
          <cell r="K11">
            <v>-0.63399999999999967</v>
          </cell>
          <cell r="L11">
            <v>5.6445999999999996</v>
          </cell>
          <cell r="M11">
            <v>2.4008000000000003</v>
          </cell>
          <cell r="N11" t="str">
            <v>I</v>
          </cell>
          <cell r="O11" t="str">
            <v>N</v>
          </cell>
          <cell r="P11" t="str">
            <v>R</v>
          </cell>
          <cell r="Q11" t="str">
            <v>N</v>
          </cell>
          <cell r="R11" t="str">
            <v>I</v>
          </cell>
          <cell r="S11" t="str">
            <v>N</v>
          </cell>
        </row>
        <row r="12">
          <cell r="A12" t="str">
            <v>95-010 D</v>
          </cell>
          <cell r="B12">
            <v>35065</v>
          </cell>
          <cell r="C12">
            <v>2.1781000000000001</v>
          </cell>
          <cell r="D12">
            <v>0.28410000000000002</v>
          </cell>
          <cell r="E12">
            <v>8.2000000000000007E-3</v>
          </cell>
          <cell r="F12">
            <v>7.46E-2</v>
          </cell>
          <cell r="G12">
            <v>2.6513</v>
          </cell>
          <cell r="H12">
            <v>-0.16750000000000001</v>
          </cell>
          <cell r="I12">
            <v>-0.216</v>
          </cell>
          <cell r="K12">
            <v>-0.48980000000000007</v>
          </cell>
          <cell r="L12">
            <v>5.5761000000000003</v>
          </cell>
          <cell r="M12">
            <v>2.5449999999999999</v>
          </cell>
          <cell r="N12" t="str">
            <v>I</v>
          </cell>
          <cell r="O12" t="str">
            <v>N</v>
          </cell>
          <cell r="P12" t="str">
            <v>N</v>
          </cell>
          <cell r="Q12" t="str">
            <v>N</v>
          </cell>
          <cell r="R12" t="str">
            <v>I</v>
          </cell>
          <cell r="S12" t="str">
            <v>R</v>
          </cell>
        </row>
        <row r="13">
          <cell r="A13" t="str">
            <v>95-010 E</v>
          </cell>
          <cell r="B13">
            <v>35096</v>
          </cell>
          <cell r="C13">
            <v>2.5087000000000002</v>
          </cell>
          <cell r="D13">
            <v>0.28820000000000001</v>
          </cell>
          <cell r="E13">
            <v>0</v>
          </cell>
          <cell r="F13">
            <v>6.3200000000000006E-2</v>
          </cell>
          <cell r="G13">
            <v>2.6513</v>
          </cell>
          <cell r="H13">
            <v>-0.16750000000000001</v>
          </cell>
          <cell r="I13">
            <v>-0.1249</v>
          </cell>
          <cell r="K13">
            <v>-8.3599999999999897E-2</v>
          </cell>
          <cell r="L13">
            <v>5.6570999999999998</v>
          </cell>
          <cell r="M13">
            <v>2.8601000000000001</v>
          </cell>
          <cell r="N13" t="str">
            <v>I</v>
          </cell>
          <cell r="O13" t="str">
            <v>N</v>
          </cell>
          <cell r="P13" t="str">
            <v>I</v>
          </cell>
          <cell r="Q13" t="str">
            <v>N</v>
          </cell>
          <cell r="R13" t="str">
            <v>I</v>
          </cell>
          <cell r="S13" t="str">
            <v>I</v>
          </cell>
        </row>
        <row r="14">
          <cell r="A14" t="str">
            <v>95-010 F</v>
          </cell>
          <cell r="B14">
            <v>35125</v>
          </cell>
          <cell r="C14">
            <v>2.2099000000000002</v>
          </cell>
          <cell r="D14">
            <v>0.28870000000000001</v>
          </cell>
          <cell r="E14">
            <v>0</v>
          </cell>
          <cell r="F14">
            <v>6.3200000000000006E-2</v>
          </cell>
          <cell r="G14">
            <v>2.6513</v>
          </cell>
          <cell r="H14">
            <v>-0.16750000000000001</v>
          </cell>
          <cell r="I14">
            <v>-0.1249</v>
          </cell>
          <cell r="K14">
            <v>-0.38189999999999968</v>
          </cell>
          <cell r="L14">
            <v>5.6666999999999996</v>
          </cell>
          <cell r="M14">
            <v>2.5618000000000003</v>
          </cell>
          <cell r="N14" t="str">
            <v>R</v>
          </cell>
          <cell r="O14" t="str">
            <v>N</v>
          </cell>
          <cell r="P14" t="str">
            <v>N</v>
          </cell>
          <cell r="Q14" t="str">
            <v>N</v>
          </cell>
          <cell r="R14" t="str">
            <v>R</v>
          </cell>
          <cell r="S14" t="str">
            <v>I</v>
          </cell>
        </row>
        <row r="15">
          <cell r="A15" t="str">
            <v>95-010 G</v>
          </cell>
          <cell r="B15">
            <v>35156</v>
          </cell>
          <cell r="C15">
            <v>2.9235000000000002</v>
          </cell>
          <cell r="D15">
            <v>0.27360000000000001</v>
          </cell>
          <cell r="E15">
            <v>0</v>
          </cell>
          <cell r="F15">
            <v>6.6400000000000001E-2</v>
          </cell>
          <cell r="G15">
            <v>2.6513</v>
          </cell>
          <cell r="H15">
            <v>-0.121</v>
          </cell>
          <cell r="I15">
            <v>-9.0499999999999997E-2</v>
          </cell>
          <cell r="K15">
            <v>0.40070000000000006</v>
          </cell>
          <cell r="L15">
            <v>5.5183</v>
          </cell>
          <cell r="M15">
            <v>3.2635000000000001</v>
          </cell>
          <cell r="N15" t="str">
            <v>I</v>
          </cell>
          <cell r="O15" t="str">
            <v>I</v>
          </cell>
          <cell r="P15" t="str">
            <v>I</v>
          </cell>
          <cell r="Q15" t="str">
            <v>N</v>
          </cell>
          <cell r="R15" t="str">
            <v>I</v>
          </cell>
          <cell r="S15" t="str">
            <v>R</v>
          </cell>
        </row>
        <row r="16">
          <cell r="A16" t="str">
            <v>95-010 H</v>
          </cell>
          <cell r="B16">
            <v>35186</v>
          </cell>
          <cell r="C16">
            <v>3.2216</v>
          </cell>
          <cell r="D16">
            <v>0.2432</v>
          </cell>
          <cell r="E16">
            <v>0</v>
          </cell>
          <cell r="F16">
            <v>6.6400000000000001E-2</v>
          </cell>
          <cell r="G16">
            <v>2.6513</v>
          </cell>
          <cell r="H16">
            <v>-0.121</v>
          </cell>
          <cell r="I16">
            <v>-9.0499999999999997E-2</v>
          </cell>
          <cell r="K16">
            <v>0.66839999999999966</v>
          </cell>
          <cell r="L16">
            <v>4.9048999999999996</v>
          </cell>
          <cell r="M16">
            <v>3.5311999999999997</v>
          </cell>
          <cell r="N16" t="str">
            <v>I</v>
          </cell>
          <cell r="O16" t="str">
            <v>N</v>
          </cell>
          <cell r="P16" t="str">
            <v>N</v>
          </cell>
          <cell r="Q16" t="str">
            <v>N</v>
          </cell>
          <cell r="R16" t="str">
            <v>I</v>
          </cell>
          <cell r="S16" t="str">
            <v>R</v>
          </cell>
        </row>
        <row r="17">
          <cell r="A17" t="str">
            <v>95-010 I</v>
          </cell>
          <cell r="B17">
            <v>35217</v>
          </cell>
          <cell r="C17">
            <v>2.7440000000000002</v>
          </cell>
          <cell r="D17">
            <v>0.22789999999999999</v>
          </cell>
          <cell r="E17">
            <v>0</v>
          </cell>
          <cell r="F17">
            <v>4.2099999999999999E-2</v>
          </cell>
          <cell r="G17">
            <v>3.4331</v>
          </cell>
          <cell r="H17">
            <v>-0.121</v>
          </cell>
          <cell r="I17">
            <v>-0.16889999999999999</v>
          </cell>
          <cell r="K17">
            <v>-0.70899999999999985</v>
          </cell>
          <cell r="L17">
            <v>4.5968999999999998</v>
          </cell>
          <cell r="M17">
            <v>3.0140000000000002</v>
          </cell>
          <cell r="N17" t="str">
            <v>R</v>
          </cell>
          <cell r="O17" t="str">
            <v>N</v>
          </cell>
          <cell r="P17" t="str">
            <v>R</v>
          </cell>
          <cell r="Q17" t="str">
            <v>N</v>
          </cell>
          <cell r="R17" t="str">
            <v>R</v>
          </cell>
          <cell r="S17" t="str">
            <v>R</v>
          </cell>
        </row>
        <row r="18">
          <cell r="A18" t="str">
            <v>95-010 J</v>
          </cell>
          <cell r="B18">
            <v>35247</v>
          </cell>
          <cell r="C18">
            <v>2.6507999999999998</v>
          </cell>
          <cell r="D18">
            <v>0.2266</v>
          </cell>
          <cell r="E18">
            <v>0</v>
          </cell>
          <cell r="F18">
            <v>4.3499999999999997E-2</v>
          </cell>
          <cell r="G18">
            <v>3.4331</v>
          </cell>
          <cell r="H18">
            <v>-0.121</v>
          </cell>
          <cell r="I18">
            <v>-0.1172</v>
          </cell>
          <cell r="K18">
            <v>-0.7504000000000004</v>
          </cell>
          <cell r="L18">
            <v>4.5693999999999999</v>
          </cell>
          <cell r="M18">
            <v>2.9208999999999996</v>
          </cell>
          <cell r="N18" t="str">
            <v>R</v>
          </cell>
          <cell r="O18" t="str">
            <v>N</v>
          </cell>
          <cell r="P18" t="str">
            <v>I</v>
          </cell>
          <cell r="Q18" t="str">
            <v>N</v>
          </cell>
          <cell r="R18" t="str">
            <v>R</v>
          </cell>
          <cell r="S18" t="str">
            <v>R</v>
          </cell>
        </row>
        <row r="19">
          <cell r="A19" t="str">
            <v>95-010 K</v>
          </cell>
          <cell r="B19">
            <v>35278</v>
          </cell>
          <cell r="C19">
            <v>2.8601999999999999</v>
          </cell>
          <cell r="D19">
            <v>0.22600000000000001</v>
          </cell>
          <cell r="E19">
            <v>0</v>
          </cell>
          <cell r="F19">
            <v>4.3499999999999997E-2</v>
          </cell>
          <cell r="G19">
            <v>3.4331</v>
          </cell>
          <cell r="H19">
            <v>-0.121</v>
          </cell>
          <cell r="I19">
            <v>-0.1172</v>
          </cell>
          <cell r="K19">
            <v>-0.5416000000000003</v>
          </cell>
          <cell r="L19">
            <v>4.5575000000000001</v>
          </cell>
          <cell r="M19">
            <v>3.1296999999999997</v>
          </cell>
          <cell r="N19" t="str">
            <v>I</v>
          </cell>
          <cell r="O19" t="str">
            <v>N</v>
          </cell>
          <cell r="P19" t="str">
            <v>N</v>
          </cell>
          <cell r="Q19" t="str">
            <v>N</v>
          </cell>
          <cell r="R19" t="str">
            <v>I</v>
          </cell>
          <cell r="S19" t="str">
            <v>R</v>
          </cell>
        </row>
        <row r="20">
          <cell r="A20" t="str">
            <v>95-010 L</v>
          </cell>
          <cell r="B20">
            <v>35309</v>
          </cell>
          <cell r="C20">
            <v>2.4763999999999999</v>
          </cell>
          <cell r="D20">
            <v>0.23350000000000001</v>
          </cell>
          <cell r="E20">
            <v>0</v>
          </cell>
          <cell r="F20">
            <v>4.7500000000000001E-2</v>
          </cell>
          <cell r="G20">
            <v>3.4331</v>
          </cell>
          <cell r="H20">
            <v>-0.121</v>
          </cell>
          <cell r="I20">
            <v>-8.4899999999999989E-2</v>
          </cell>
          <cell r="K20">
            <v>-0.88160000000000038</v>
          </cell>
          <cell r="L20">
            <v>4.7096</v>
          </cell>
          <cell r="M20">
            <v>2.7573999999999996</v>
          </cell>
          <cell r="N20" t="str">
            <v>R</v>
          </cell>
          <cell r="O20" t="str">
            <v>N</v>
          </cell>
          <cell r="P20" t="str">
            <v>I</v>
          </cell>
          <cell r="Q20" t="str">
            <v>N</v>
          </cell>
          <cell r="R20" t="str">
            <v>R</v>
          </cell>
          <cell r="S20" t="str">
            <v>I</v>
          </cell>
        </row>
        <row r="21">
          <cell r="A21" t="str">
            <v>95-010 M</v>
          </cell>
          <cell r="B21">
            <v>35339</v>
          </cell>
          <cell r="C21">
            <v>2.3786999999999998</v>
          </cell>
          <cell r="D21">
            <v>0.2336</v>
          </cell>
          <cell r="E21">
            <v>0</v>
          </cell>
          <cell r="F21">
            <v>4.99E-2</v>
          </cell>
          <cell r="G21">
            <v>3.4331</v>
          </cell>
          <cell r="H21">
            <v>-3.3999999999999998E-3</v>
          </cell>
          <cell r="I21">
            <v>-8.4900000000000003E-2</v>
          </cell>
          <cell r="K21">
            <v>-0.85919999999999996</v>
          </cell>
          <cell r="L21">
            <v>4.7243000000000004</v>
          </cell>
          <cell r="M21">
            <v>2.6621999999999999</v>
          </cell>
          <cell r="N21" t="str">
            <v>R</v>
          </cell>
          <cell r="O21" t="str">
            <v>I</v>
          </cell>
          <cell r="P21" t="str">
            <v>N</v>
          </cell>
          <cell r="Q21" t="str">
            <v>N</v>
          </cell>
          <cell r="R21" t="str">
            <v>I</v>
          </cell>
          <cell r="S21" t="str">
            <v>I</v>
          </cell>
        </row>
        <row r="22">
          <cell r="A22" t="str">
            <v>95-010 N</v>
          </cell>
          <cell r="B22">
            <v>35370</v>
          </cell>
          <cell r="C22">
            <v>2.4285999999999999</v>
          </cell>
          <cell r="D22">
            <v>0.22359999999999999</v>
          </cell>
          <cell r="E22">
            <v>0</v>
          </cell>
          <cell r="F22">
            <v>4.9799999999999997E-2</v>
          </cell>
          <cell r="G22">
            <v>3.4331</v>
          </cell>
          <cell r="H22">
            <v>-3.3999999999999998E-3</v>
          </cell>
          <cell r="I22">
            <v>-7.8299999999999995E-2</v>
          </cell>
          <cell r="K22">
            <v>-0.81280000000000052</v>
          </cell>
          <cell r="L22">
            <v>4.5213999999999999</v>
          </cell>
          <cell r="M22">
            <v>2.7019999999999995</v>
          </cell>
          <cell r="N22" t="str">
            <v>I</v>
          </cell>
          <cell r="O22" t="str">
            <v>N</v>
          </cell>
          <cell r="P22" t="str">
            <v>I</v>
          </cell>
          <cell r="Q22" t="str">
            <v>N</v>
          </cell>
          <cell r="R22" t="str">
            <v>I</v>
          </cell>
          <cell r="S22" t="str">
            <v>R</v>
          </cell>
        </row>
        <row r="23">
          <cell r="A23" t="str">
            <v>95-010 O</v>
          </cell>
          <cell r="B23">
            <v>35400</v>
          </cell>
          <cell r="C23">
            <v>2.8285</v>
          </cell>
          <cell r="D23">
            <v>0.21629999999999999</v>
          </cell>
          <cell r="E23">
            <v>0</v>
          </cell>
          <cell r="F23">
            <v>4.9799999999999997E-2</v>
          </cell>
          <cell r="G23">
            <v>3.4331</v>
          </cell>
          <cell r="H23">
            <v>-3.3999999999999998E-3</v>
          </cell>
          <cell r="I23">
            <v>-7.5600000000000001E-2</v>
          </cell>
          <cell r="K23">
            <v>-0.41749999999999998</v>
          </cell>
          <cell r="L23">
            <v>4.375</v>
          </cell>
          <cell r="M23">
            <v>3.0945999999999998</v>
          </cell>
          <cell r="N23" t="str">
            <v>I</v>
          </cell>
          <cell r="O23" t="str">
            <v>N</v>
          </cell>
          <cell r="P23" t="str">
            <v>I</v>
          </cell>
          <cell r="Q23" t="str">
            <v>N</v>
          </cell>
          <cell r="R23" t="str">
            <v>I</v>
          </cell>
          <cell r="S23" t="str">
            <v>R</v>
          </cell>
        </row>
        <row r="24">
          <cell r="A24" t="str">
            <v>95-010 P</v>
          </cell>
          <cell r="B24">
            <v>35431</v>
          </cell>
          <cell r="C24">
            <v>3.1322999999999999</v>
          </cell>
          <cell r="D24">
            <v>0.21629999999999999</v>
          </cell>
          <cell r="E24">
            <v>0</v>
          </cell>
          <cell r="F24">
            <v>6.1899999999999997E-2</v>
          </cell>
          <cell r="G24">
            <v>3.4331</v>
          </cell>
          <cell r="H24">
            <v>-3.3999999999999998E-3</v>
          </cell>
          <cell r="I24">
            <v>-7.5600000000000001E-2</v>
          </cell>
          <cell r="K24">
            <v>-0.10160000000000018</v>
          </cell>
          <cell r="L24">
            <v>4.375</v>
          </cell>
          <cell r="M24">
            <v>3.4104999999999999</v>
          </cell>
          <cell r="N24" t="str">
            <v>I</v>
          </cell>
          <cell r="O24" t="str">
            <v>N</v>
          </cell>
          <cell r="P24" t="str">
            <v>N</v>
          </cell>
          <cell r="Q24" t="str">
            <v>N</v>
          </cell>
          <cell r="R24" t="str">
            <v>I</v>
          </cell>
          <cell r="S24" t="str">
            <v>N</v>
          </cell>
        </row>
        <row r="25">
          <cell r="A25" t="str">
            <v>95-010 Q</v>
          </cell>
          <cell r="B25">
            <v>35462</v>
          </cell>
          <cell r="C25">
            <v>3.1871999999999998</v>
          </cell>
          <cell r="D25">
            <v>0.21629999999999999</v>
          </cell>
          <cell r="E25">
            <v>0</v>
          </cell>
          <cell r="F25">
            <v>6.1800000000000001E-2</v>
          </cell>
          <cell r="G25">
            <v>3.4331</v>
          </cell>
          <cell r="H25">
            <v>-3.3999999999999998E-3</v>
          </cell>
          <cell r="I25">
            <v>-7.5600000000000001E-2</v>
          </cell>
          <cell r="K25">
            <v>-4.6800000000000438E-2</v>
          </cell>
          <cell r="L25">
            <v>4.375</v>
          </cell>
          <cell r="M25">
            <v>3.4652999999999996</v>
          </cell>
          <cell r="N25" t="str">
            <v>I</v>
          </cell>
          <cell r="O25" t="str">
            <v>N</v>
          </cell>
          <cell r="P25" t="str">
            <v>N</v>
          </cell>
          <cell r="Q25" t="str">
            <v>N</v>
          </cell>
          <cell r="R25" t="str">
            <v>I</v>
          </cell>
          <cell r="S25" t="str">
            <v>N</v>
          </cell>
        </row>
        <row r="26">
          <cell r="A26" t="str">
            <v>95-010 R</v>
          </cell>
          <cell r="B26">
            <v>35490</v>
          </cell>
          <cell r="C26">
            <v>2.7440000000000002</v>
          </cell>
          <cell r="D26">
            <v>0.21640000000000001</v>
          </cell>
          <cell r="E26">
            <v>0</v>
          </cell>
          <cell r="F26">
            <v>6.1800000000000001E-2</v>
          </cell>
          <cell r="G26">
            <v>3.4331</v>
          </cell>
          <cell r="H26">
            <v>-3.3999999999999998E-3</v>
          </cell>
          <cell r="I26">
            <v>-7.5600000000000001E-2</v>
          </cell>
          <cell r="K26">
            <v>-0.48989999999999984</v>
          </cell>
          <cell r="L26">
            <v>4.3760000000000003</v>
          </cell>
          <cell r="M26">
            <v>3.0222000000000002</v>
          </cell>
          <cell r="N26" t="str">
            <v>R</v>
          </cell>
          <cell r="O26" t="str">
            <v>N</v>
          </cell>
          <cell r="P26" t="str">
            <v>N</v>
          </cell>
          <cell r="Q26" t="str">
            <v>N</v>
          </cell>
          <cell r="R26" t="str">
            <v>R</v>
          </cell>
          <cell r="S26" t="str">
            <v>I</v>
          </cell>
        </row>
        <row r="27">
          <cell r="A27" t="str">
            <v>95-010 S</v>
          </cell>
          <cell r="B27">
            <v>35521</v>
          </cell>
          <cell r="C27">
            <v>2.1516000000000002</v>
          </cell>
          <cell r="D27">
            <v>0.2122</v>
          </cell>
          <cell r="E27">
            <v>0</v>
          </cell>
          <cell r="F27">
            <v>6.1800000000000001E-2</v>
          </cell>
          <cell r="G27">
            <v>3.4331</v>
          </cell>
          <cell r="H27">
            <v>9.3799999999999994E-2</v>
          </cell>
          <cell r="I27">
            <v>-7.5600000000000001E-2</v>
          </cell>
          <cell r="K27">
            <v>-0.98929999999999985</v>
          </cell>
          <cell r="L27">
            <v>4.2912999999999997</v>
          </cell>
          <cell r="M27">
            <v>2.4256000000000002</v>
          </cell>
          <cell r="N27" t="str">
            <v>R</v>
          </cell>
          <cell r="O27" t="str">
            <v>I</v>
          </cell>
          <cell r="P27" t="str">
            <v>N</v>
          </cell>
          <cell r="Q27" t="str">
            <v>N</v>
          </cell>
          <cell r="R27" t="str">
            <v>R</v>
          </cell>
          <cell r="S27" t="str">
            <v>R</v>
          </cell>
        </row>
        <row r="28">
          <cell r="A28" t="str">
            <v>95-010 T</v>
          </cell>
          <cell r="B28">
            <v>35551</v>
          </cell>
          <cell r="C28">
            <v>1.9819</v>
          </cell>
          <cell r="D28">
            <v>0.2122</v>
          </cell>
          <cell r="E28">
            <v>0</v>
          </cell>
          <cell r="F28">
            <v>6.1800000000000001E-2</v>
          </cell>
          <cell r="G28">
            <v>3.4331</v>
          </cell>
          <cell r="H28">
            <v>9.3799999999999994E-2</v>
          </cell>
          <cell r="I28">
            <v>-7.5600000000000001E-2</v>
          </cell>
          <cell r="K28">
            <v>-1.159</v>
          </cell>
          <cell r="L28">
            <v>4.2912999999999997</v>
          </cell>
          <cell r="M28">
            <v>2.2559</v>
          </cell>
          <cell r="N28" t="str">
            <v>R</v>
          </cell>
          <cell r="O28" t="str">
            <v>N</v>
          </cell>
          <cell r="P28" t="str">
            <v>N</v>
          </cell>
          <cell r="Q28" t="str">
            <v>N</v>
          </cell>
          <cell r="R28" t="str">
            <v>R</v>
          </cell>
          <cell r="S28" t="str">
            <v>N</v>
          </cell>
        </row>
        <row r="29">
          <cell r="A29" t="str">
            <v>95-010 U</v>
          </cell>
          <cell r="B29">
            <v>35582</v>
          </cell>
          <cell r="C29">
            <v>2.2673999999999999</v>
          </cell>
          <cell r="D29">
            <v>0.22550000000000001</v>
          </cell>
          <cell r="E29">
            <v>0</v>
          </cell>
          <cell r="F29">
            <v>5.2900000000000003E-2</v>
          </cell>
          <cell r="G29">
            <v>3.4331</v>
          </cell>
          <cell r="H29">
            <v>9.3799999999999994E-2</v>
          </cell>
          <cell r="I29">
            <v>-4.8799999999999996E-2</v>
          </cell>
          <cell r="K29">
            <v>-0.84230000000000016</v>
          </cell>
          <cell r="L29">
            <v>4.5613000000000001</v>
          </cell>
          <cell r="M29">
            <v>2.5457999999999998</v>
          </cell>
          <cell r="N29" t="str">
            <v>I</v>
          </cell>
          <cell r="O29" t="str">
            <v>N</v>
          </cell>
          <cell r="P29" t="str">
            <v>I</v>
          </cell>
          <cell r="Q29" t="str">
            <v>N</v>
          </cell>
          <cell r="R29" t="str">
            <v>I</v>
          </cell>
          <cell r="S29" t="str">
            <v>I</v>
          </cell>
        </row>
        <row r="30">
          <cell r="A30" t="str">
            <v>95-010 V</v>
          </cell>
          <cell r="B30">
            <v>35612</v>
          </cell>
          <cell r="C30">
            <v>2.4232</v>
          </cell>
          <cell r="D30">
            <v>0.22550000000000001</v>
          </cell>
          <cell r="E30">
            <v>0</v>
          </cell>
          <cell r="F30">
            <v>5.2900000000000003E-2</v>
          </cell>
          <cell r="G30">
            <v>3.4331</v>
          </cell>
          <cell r="H30">
            <v>9.3799999999999994E-2</v>
          </cell>
          <cell r="I30">
            <v>-4.5299999999999993E-2</v>
          </cell>
          <cell r="K30">
            <v>-0.68300000000000005</v>
          </cell>
          <cell r="L30">
            <v>4.5613000000000001</v>
          </cell>
          <cell r="M30">
            <v>2.7016</v>
          </cell>
          <cell r="N30" t="str">
            <v>I</v>
          </cell>
          <cell r="O30" t="str">
            <v>N</v>
          </cell>
          <cell r="P30" t="str">
            <v>I</v>
          </cell>
          <cell r="Q30" t="str">
            <v>N</v>
          </cell>
          <cell r="R30" t="str">
            <v>I</v>
          </cell>
          <cell r="S30" t="str">
            <v>N</v>
          </cell>
        </row>
        <row r="31">
          <cell r="A31" t="str">
            <v>95-010 W</v>
          </cell>
          <cell r="B31">
            <v>35643</v>
          </cell>
          <cell r="C31">
            <v>2.6347999999999998</v>
          </cell>
          <cell r="D31">
            <v>0.2631</v>
          </cell>
          <cell r="E31">
            <v>0</v>
          </cell>
          <cell r="F31">
            <v>5.1999999999999998E-2</v>
          </cell>
          <cell r="G31">
            <v>3.4331</v>
          </cell>
          <cell r="H31">
            <v>9.3799999999999994E-2</v>
          </cell>
          <cell r="I31">
            <v>-4.5299999999999993E-2</v>
          </cell>
          <cell r="K31">
            <v>-0.43470000000000009</v>
          </cell>
          <cell r="L31">
            <v>5.3216000000000001</v>
          </cell>
          <cell r="M31">
            <v>2.9499</v>
          </cell>
          <cell r="N31" t="str">
            <v>I</v>
          </cell>
          <cell r="O31" t="str">
            <v>N</v>
          </cell>
          <cell r="P31" t="str">
            <v>N</v>
          </cell>
          <cell r="Q31" t="str">
            <v>N</v>
          </cell>
          <cell r="R31" t="str">
            <v>I</v>
          </cell>
          <cell r="S31" t="str">
            <v>I</v>
          </cell>
        </row>
        <row r="32">
          <cell r="A32" t="str">
            <v>95-010 X</v>
          </cell>
          <cell r="B32">
            <v>35674</v>
          </cell>
          <cell r="C32">
            <v>2.6177999999999999</v>
          </cell>
          <cell r="D32">
            <v>0.2225</v>
          </cell>
          <cell r="E32">
            <v>0</v>
          </cell>
          <cell r="F32">
            <v>5.1999999999999998E-2</v>
          </cell>
          <cell r="G32">
            <v>3.4331</v>
          </cell>
          <cell r="H32">
            <v>9.3799999999999994E-2</v>
          </cell>
          <cell r="I32">
            <v>-4.5299999999999993E-2</v>
          </cell>
          <cell r="K32">
            <v>-0.49229999999999996</v>
          </cell>
          <cell r="L32">
            <v>4.5003000000000002</v>
          </cell>
          <cell r="M32">
            <v>2.8923000000000001</v>
          </cell>
          <cell r="N32" t="str">
            <v>R</v>
          </cell>
          <cell r="O32" t="str">
            <v>N</v>
          </cell>
          <cell r="P32" t="str">
            <v>N</v>
          </cell>
          <cell r="Q32" t="str">
            <v>N</v>
          </cell>
          <cell r="R32" t="str">
            <v>R</v>
          </cell>
          <cell r="S32" t="str">
            <v>R</v>
          </cell>
        </row>
        <row r="33">
          <cell r="A33" t="str">
            <v>95-010 Y</v>
          </cell>
          <cell r="B33">
            <v>35704</v>
          </cell>
          <cell r="C33">
            <v>2.8130000000000002</v>
          </cell>
          <cell r="D33">
            <v>0.2225</v>
          </cell>
          <cell r="E33">
            <v>0</v>
          </cell>
          <cell r="F33">
            <v>5.9200000000000003E-2</v>
          </cell>
          <cell r="G33">
            <v>3.4331</v>
          </cell>
          <cell r="H33">
            <v>0.1211</v>
          </cell>
          <cell r="I33">
            <v>-4.5299999999999993E-2</v>
          </cell>
          <cell r="K33">
            <v>-0.26259999999999961</v>
          </cell>
          <cell r="L33">
            <v>4.7756999999999996</v>
          </cell>
          <cell r="M33">
            <v>3.0947000000000005</v>
          </cell>
          <cell r="N33" t="str">
            <v>I</v>
          </cell>
          <cell r="O33" t="str">
            <v>I</v>
          </cell>
          <cell r="P33" t="str">
            <v>N</v>
          </cell>
          <cell r="Q33" t="str">
            <v>N</v>
          </cell>
          <cell r="R33" t="str">
            <v>I</v>
          </cell>
          <cell r="S33" t="str">
            <v>I</v>
          </cell>
        </row>
        <row r="34">
          <cell r="A34" t="str">
            <v>95-010 Z</v>
          </cell>
          <cell r="B34">
            <v>35735</v>
          </cell>
          <cell r="C34">
            <v>3.9502000000000002</v>
          </cell>
          <cell r="D34">
            <v>0.2225</v>
          </cell>
          <cell r="E34">
            <v>0</v>
          </cell>
          <cell r="F34">
            <v>5.9200000000000003E-2</v>
          </cell>
          <cell r="G34">
            <v>3.4331</v>
          </cell>
          <cell r="H34">
            <v>0.1211</v>
          </cell>
          <cell r="I34">
            <v>-5.1899999999999995E-2</v>
          </cell>
          <cell r="K34">
            <v>0.86799999999999955</v>
          </cell>
          <cell r="L34">
            <v>4.7756999999999996</v>
          </cell>
          <cell r="M34">
            <v>4.2318999999999996</v>
          </cell>
          <cell r="N34" t="str">
            <v>I</v>
          </cell>
          <cell r="O34" t="str">
            <v>N</v>
          </cell>
          <cell r="P34" t="str">
            <v>R</v>
          </cell>
          <cell r="Q34" t="str">
            <v>N</v>
          </cell>
          <cell r="R34" t="str">
            <v>I</v>
          </cell>
          <cell r="S34" t="str">
            <v>N</v>
          </cell>
        </row>
        <row r="35">
          <cell r="A35" t="str">
            <v>95-010 AA</v>
          </cell>
          <cell r="B35">
            <v>35765</v>
          </cell>
          <cell r="C35">
            <v>3.9398</v>
          </cell>
          <cell r="D35">
            <v>0.2631</v>
          </cell>
          <cell r="E35">
            <v>0</v>
          </cell>
          <cell r="F35">
            <v>5.9200000000000003E-2</v>
          </cell>
          <cell r="G35">
            <v>3.4331</v>
          </cell>
          <cell r="H35">
            <v>0.1211</v>
          </cell>
          <cell r="I35">
            <v>-5.1899999999999995E-2</v>
          </cell>
          <cell r="K35">
            <v>0.89819999999999933</v>
          </cell>
          <cell r="L35">
            <v>5.6473000000000004</v>
          </cell>
          <cell r="M35">
            <v>4.2620999999999993</v>
          </cell>
          <cell r="N35" t="str">
            <v>I</v>
          </cell>
          <cell r="O35" t="str">
            <v>N</v>
          </cell>
          <cell r="P35" t="str">
            <v>N</v>
          </cell>
          <cell r="Q35" t="str">
            <v>N</v>
          </cell>
          <cell r="R35" t="str">
            <v>I</v>
          </cell>
          <cell r="S35" t="str">
            <v>I</v>
          </cell>
        </row>
        <row r="36">
          <cell r="A36" t="str">
            <v>95-010 BB</v>
          </cell>
          <cell r="B36">
            <v>35796</v>
          </cell>
          <cell r="C36">
            <v>3.0838000000000001</v>
          </cell>
          <cell r="D36">
            <v>0.2631</v>
          </cell>
          <cell r="E36">
            <v>0</v>
          </cell>
          <cell r="F36">
            <v>5.9200000000000003E-2</v>
          </cell>
          <cell r="G36">
            <v>3.4331</v>
          </cell>
          <cell r="H36">
            <v>0.1211</v>
          </cell>
          <cell r="I36">
            <v>-5.1899999999999995E-2</v>
          </cell>
          <cell r="K36">
            <v>4.2200000000000314E-2</v>
          </cell>
          <cell r="L36">
            <v>5.6473000000000004</v>
          </cell>
          <cell r="M36">
            <v>3.4061000000000003</v>
          </cell>
          <cell r="N36" t="str">
            <v>R</v>
          </cell>
          <cell r="O36" t="str">
            <v>N</v>
          </cell>
          <cell r="P36" t="str">
            <v>N</v>
          </cell>
          <cell r="Q36" t="str">
            <v>N</v>
          </cell>
          <cell r="R36" t="str">
            <v>R</v>
          </cell>
          <cell r="S36" t="str">
            <v>N</v>
          </cell>
        </row>
        <row r="37">
          <cell r="A37" t="str">
            <v>95-010 CC</v>
          </cell>
          <cell r="B37">
            <v>35827</v>
          </cell>
          <cell r="C37">
            <v>2.6434000000000002</v>
          </cell>
          <cell r="D37">
            <v>0.2631</v>
          </cell>
          <cell r="E37">
            <v>0</v>
          </cell>
          <cell r="F37">
            <v>5.9200000000000003E-2</v>
          </cell>
          <cell r="G37">
            <v>3.4331</v>
          </cell>
          <cell r="H37">
            <v>0.1211</v>
          </cell>
          <cell r="I37">
            <v>-5.3499999999999992E-2</v>
          </cell>
          <cell r="K37">
            <v>-0.3997999999999996</v>
          </cell>
          <cell r="L37">
            <v>5.6473000000000004</v>
          </cell>
          <cell r="M37">
            <v>2.9657000000000004</v>
          </cell>
          <cell r="N37" t="str">
            <v>R</v>
          </cell>
          <cell r="O37" t="str">
            <v>N</v>
          </cell>
          <cell r="P37" t="str">
            <v>R</v>
          </cell>
          <cell r="Q37" t="str">
            <v>N</v>
          </cell>
          <cell r="R37" t="str">
            <v>R</v>
          </cell>
          <cell r="S37" t="str">
            <v>N</v>
          </cell>
        </row>
        <row r="38">
          <cell r="A38" t="str">
            <v>95-010 DD</v>
          </cell>
          <cell r="B38">
            <v>35855</v>
          </cell>
          <cell r="C38">
            <v>2.4820000000000002</v>
          </cell>
          <cell r="D38">
            <v>0.23119999999999999</v>
          </cell>
          <cell r="E38">
            <v>0</v>
          </cell>
          <cell r="F38">
            <v>3.09E-2</v>
          </cell>
          <cell r="G38">
            <v>3.4331</v>
          </cell>
          <cell r="H38">
            <v>0.1211</v>
          </cell>
          <cell r="I38">
            <v>-5.3499999999999992E-2</v>
          </cell>
          <cell r="K38">
            <v>-0.62140000000000006</v>
          </cell>
          <cell r="L38">
            <v>4.9629000000000003</v>
          </cell>
          <cell r="M38">
            <v>2.7441</v>
          </cell>
          <cell r="N38" t="str">
            <v>R</v>
          </cell>
          <cell r="O38" t="str">
            <v>N</v>
          </cell>
          <cell r="P38" t="str">
            <v>N</v>
          </cell>
          <cell r="Q38" t="str">
            <v>N</v>
          </cell>
          <cell r="R38" t="str">
            <v>R</v>
          </cell>
          <cell r="S38" t="str">
            <v>R</v>
          </cell>
        </row>
        <row r="39">
          <cell r="A39" t="str">
            <v>95-010 EE</v>
          </cell>
          <cell r="B39">
            <v>35886</v>
          </cell>
          <cell r="C39">
            <v>2.5598000000000001</v>
          </cell>
          <cell r="D39">
            <v>0.21690000000000001</v>
          </cell>
          <cell r="E39">
            <v>0</v>
          </cell>
          <cell r="F39">
            <v>1.8599999999999998E-2</v>
          </cell>
          <cell r="G39">
            <v>3.4331</v>
          </cell>
          <cell r="H39">
            <v>-0.1147</v>
          </cell>
          <cell r="I39">
            <v>-5.3499999999999992E-2</v>
          </cell>
          <cell r="K39">
            <v>-0.80599999999999994</v>
          </cell>
          <cell r="L39">
            <v>4.6555999999999997</v>
          </cell>
          <cell r="M39">
            <v>2.7953000000000001</v>
          </cell>
          <cell r="N39" t="str">
            <v>I</v>
          </cell>
          <cell r="O39" t="str">
            <v>R</v>
          </cell>
          <cell r="P39" t="str">
            <v>N</v>
          </cell>
          <cell r="Q39" t="str">
            <v>N</v>
          </cell>
          <cell r="R39" t="str">
            <v>R</v>
          </cell>
          <cell r="S39" t="str">
            <v>R</v>
          </cell>
        </row>
        <row r="40">
          <cell r="A40" t="str">
            <v>95-010 FF</v>
          </cell>
          <cell r="B40">
            <v>35916</v>
          </cell>
          <cell r="C40">
            <v>2.7326000000000001</v>
          </cell>
          <cell r="D40">
            <v>0.21690000000000001</v>
          </cell>
          <cell r="E40">
            <v>0</v>
          </cell>
          <cell r="F40">
            <v>1.8599999999999998E-2</v>
          </cell>
          <cell r="G40">
            <v>3.4331</v>
          </cell>
          <cell r="H40">
            <v>-0.1147</v>
          </cell>
          <cell r="I40">
            <v>-5.3499999999999992E-2</v>
          </cell>
          <cell r="K40">
            <v>-0.63319999999999987</v>
          </cell>
          <cell r="L40">
            <v>4.6555999999999997</v>
          </cell>
          <cell r="M40">
            <v>2.9681000000000002</v>
          </cell>
          <cell r="N40" t="str">
            <v>I</v>
          </cell>
          <cell r="O40" t="str">
            <v>N</v>
          </cell>
          <cell r="P40" t="str">
            <v>N</v>
          </cell>
          <cell r="Q40" t="str">
            <v>N</v>
          </cell>
          <cell r="R40" t="str">
            <v>I</v>
          </cell>
          <cell r="S40" t="str">
            <v>N</v>
          </cell>
        </row>
        <row r="41">
          <cell r="A41" t="str">
            <v>95-010 GG</v>
          </cell>
          <cell r="B41">
            <v>35947</v>
          </cell>
          <cell r="C41">
            <v>2.8946999999999998</v>
          </cell>
          <cell r="D41">
            <v>0.21690000000000001</v>
          </cell>
          <cell r="E41">
            <v>0</v>
          </cell>
          <cell r="F41">
            <v>1.8599999999999998E-2</v>
          </cell>
          <cell r="G41">
            <v>3.4331</v>
          </cell>
          <cell r="H41">
            <v>-0.1147</v>
          </cell>
          <cell r="I41">
            <v>-1.9E-3</v>
          </cell>
          <cell r="K41">
            <v>-0.41950000000000021</v>
          </cell>
          <cell r="L41">
            <v>4.6555999999999997</v>
          </cell>
          <cell r="M41">
            <v>3.1301999999999999</v>
          </cell>
          <cell r="N41" t="str">
            <v>I</v>
          </cell>
          <cell r="O41" t="str">
            <v>N</v>
          </cell>
          <cell r="P41" t="str">
            <v>I</v>
          </cell>
          <cell r="Q41" t="str">
            <v>N</v>
          </cell>
          <cell r="R41" t="str">
            <v>I</v>
          </cell>
          <cell r="S41" t="str">
            <v>N</v>
          </cell>
        </row>
        <row r="42">
          <cell r="A42" t="str">
            <v>95-010 HH</v>
          </cell>
          <cell r="B42">
            <v>35977</v>
          </cell>
          <cell r="C42">
            <v>2.6385999999999998</v>
          </cell>
          <cell r="D42">
            <v>0.21690000000000001</v>
          </cell>
          <cell r="E42">
            <v>0</v>
          </cell>
          <cell r="F42">
            <v>1.8599999999999998E-2</v>
          </cell>
          <cell r="G42">
            <v>3.4331</v>
          </cell>
          <cell r="H42">
            <v>-0.1147</v>
          </cell>
          <cell r="I42">
            <v>-1.11E-2</v>
          </cell>
          <cell r="K42">
            <v>-0.68480000000000019</v>
          </cell>
          <cell r="L42">
            <v>4.6555999999999997</v>
          </cell>
          <cell r="M42">
            <v>2.8740999999999999</v>
          </cell>
          <cell r="N42" t="str">
            <v>R</v>
          </cell>
          <cell r="O42" t="str">
            <v>N</v>
          </cell>
          <cell r="P42" t="str">
            <v>R</v>
          </cell>
          <cell r="Q42" t="str">
            <v>N</v>
          </cell>
          <cell r="R42" t="str">
            <v>R</v>
          </cell>
          <cell r="S42" t="str">
            <v>N</v>
          </cell>
        </row>
        <row r="43">
          <cell r="A43" t="str">
            <v>95-010 II</v>
          </cell>
          <cell r="B43">
            <v>36008</v>
          </cell>
          <cell r="C43">
            <v>2.7168000000000001</v>
          </cell>
          <cell r="D43">
            <v>0.21690000000000001</v>
          </cell>
          <cell r="E43">
            <v>0</v>
          </cell>
          <cell r="F43">
            <v>1.8599999999999998E-2</v>
          </cell>
          <cell r="G43">
            <v>3.4331</v>
          </cell>
          <cell r="H43">
            <v>-0.1147</v>
          </cell>
          <cell r="I43">
            <v>-1.11E-2</v>
          </cell>
          <cell r="K43">
            <v>-0.60659999999999992</v>
          </cell>
          <cell r="L43">
            <v>4.6555999999999997</v>
          </cell>
          <cell r="M43">
            <v>2.9523000000000001</v>
          </cell>
          <cell r="N43" t="str">
            <v>I</v>
          </cell>
          <cell r="O43" t="str">
            <v>N</v>
          </cell>
          <cell r="P43" t="str">
            <v>N</v>
          </cell>
          <cell r="Q43" t="str">
            <v>N</v>
          </cell>
          <cell r="R43" t="str">
            <v>I</v>
          </cell>
          <cell r="S43" t="str">
            <v>N</v>
          </cell>
        </row>
        <row r="44">
          <cell r="A44" t="str">
            <v>95-010 JJ</v>
          </cell>
          <cell r="B44">
            <v>36039</v>
          </cell>
          <cell r="C44">
            <v>2.4003000000000001</v>
          </cell>
          <cell r="D44">
            <v>0.21690000000000001</v>
          </cell>
          <cell r="E44">
            <v>0</v>
          </cell>
          <cell r="F44">
            <v>1.8599999999999998E-2</v>
          </cell>
          <cell r="G44">
            <v>3.4331</v>
          </cell>
          <cell r="H44">
            <v>-0.1147</v>
          </cell>
          <cell r="I44">
            <v>-1.11E-2</v>
          </cell>
          <cell r="K44">
            <v>-0.92310000000000003</v>
          </cell>
          <cell r="L44">
            <v>4.6555999999999997</v>
          </cell>
          <cell r="M44">
            <v>2.6358000000000001</v>
          </cell>
          <cell r="N44" t="str">
            <v>R</v>
          </cell>
          <cell r="O44" t="str">
            <v>N</v>
          </cell>
          <cell r="P44" t="str">
            <v>N</v>
          </cell>
          <cell r="Q44" t="str">
            <v>N</v>
          </cell>
          <cell r="R44" t="str">
            <v>R</v>
          </cell>
          <cell r="S44" t="str">
            <v>N</v>
          </cell>
        </row>
        <row r="45">
          <cell r="A45" t="str">
            <v>95-010 KK</v>
          </cell>
          <cell r="B45">
            <v>36069</v>
          </cell>
          <cell r="C45">
            <v>2.3995000000000002</v>
          </cell>
          <cell r="D45">
            <v>0.21690000000000001</v>
          </cell>
          <cell r="E45">
            <v>0</v>
          </cell>
          <cell r="F45">
            <v>1.8599999999999998E-2</v>
          </cell>
          <cell r="G45">
            <v>3.4331</v>
          </cell>
          <cell r="H45">
            <v>-0.311</v>
          </cell>
          <cell r="I45">
            <v>-2.41E-2</v>
          </cell>
          <cell r="K45">
            <v>-1.1331999999999998</v>
          </cell>
          <cell r="L45">
            <v>4.6555999999999997</v>
          </cell>
          <cell r="M45">
            <v>2.6350000000000002</v>
          </cell>
          <cell r="N45" t="str">
            <v>R</v>
          </cell>
          <cell r="O45" t="str">
            <v>R</v>
          </cell>
          <cell r="P45" t="str">
            <v>R</v>
          </cell>
          <cell r="Q45" t="str">
            <v>N</v>
          </cell>
          <cell r="R45" t="str">
            <v>R</v>
          </cell>
          <cell r="S45" t="str">
            <v>N</v>
          </cell>
        </row>
        <row r="46">
          <cell r="A46" t="str">
            <v>95-010 LL</v>
          </cell>
          <cell r="B46">
            <v>36100</v>
          </cell>
          <cell r="C46">
            <v>2.7469000000000001</v>
          </cell>
          <cell r="D46">
            <v>0.19939999999999999</v>
          </cell>
          <cell r="E46">
            <v>0</v>
          </cell>
          <cell r="F46">
            <v>1.8599999999999998E-2</v>
          </cell>
          <cell r="G46">
            <v>3.4331</v>
          </cell>
          <cell r="H46">
            <v>-0.311</v>
          </cell>
          <cell r="I46">
            <v>-2.41E-2</v>
          </cell>
          <cell r="K46">
            <v>-0.8032999999999999</v>
          </cell>
          <cell r="L46">
            <v>4.2808999999999999</v>
          </cell>
          <cell r="M46">
            <v>2.9649000000000001</v>
          </cell>
          <cell r="N46" t="str">
            <v>I</v>
          </cell>
          <cell r="O46" t="str">
            <v>N</v>
          </cell>
          <cell r="P46" t="str">
            <v>N</v>
          </cell>
          <cell r="Q46" t="str">
            <v>N</v>
          </cell>
          <cell r="R46" t="str">
            <v>I</v>
          </cell>
          <cell r="S46" t="str">
            <v>R</v>
          </cell>
        </row>
        <row r="47">
          <cell r="A47" t="str">
            <v>95-010 MM</v>
          </cell>
          <cell r="B47">
            <v>36130</v>
          </cell>
          <cell r="C47">
            <v>2.5857000000000001</v>
          </cell>
          <cell r="D47">
            <v>0.19939999999999999</v>
          </cell>
          <cell r="E47">
            <v>0</v>
          </cell>
          <cell r="F47">
            <v>1.8599999999999998E-2</v>
          </cell>
          <cell r="G47">
            <v>3.4331</v>
          </cell>
          <cell r="H47">
            <v>-0.311</v>
          </cell>
          <cell r="I47">
            <v>-2.41E-2</v>
          </cell>
          <cell r="K47">
            <v>-0.96449999999999991</v>
          </cell>
          <cell r="L47">
            <v>4.2808999999999999</v>
          </cell>
          <cell r="M47">
            <v>2.8037000000000001</v>
          </cell>
          <cell r="N47" t="str">
            <v>R</v>
          </cell>
          <cell r="O47" t="str">
            <v>N</v>
          </cell>
          <cell r="P47" t="str">
            <v>N</v>
          </cell>
          <cell r="Q47" t="str">
            <v>N</v>
          </cell>
          <cell r="R47" t="str">
            <v>R</v>
          </cell>
          <cell r="S47" t="str">
            <v>N</v>
          </cell>
        </row>
        <row r="48">
          <cell r="A48" t="str">
            <v>95-010 NN</v>
          </cell>
          <cell r="B48">
            <v>36161</v>
          </cell>
          <cell r="C48">
            <v>2.4861</v>
          </cell>
          <cell r="D48">
            <v>0.19939999999999999</v>
          </cell>
          <cell r="E48">
            <v>0</v>
          </cell>
          <cell r="F48">
            <v>1.8599999999999998E-2</v>
          </cell>
          <cell r="G48">
            <v>3.4331</v>
          </cell>
          <cell r="H48">
            <v>-0.311</v>
          </cell>
          <cell r="I48">
            <v>-2.41E-2</v>
          </cell>
          <cell r="K48">
            <v>-1.0641</v>
          </cell>
          <cell r="L48">
            <v>4.2808999999999999</v>
          </cell>
          <cell r="M48">
            <v>2.7040999999999999</v>
          </cell>
          <cell r="N48" t="str">
            <v>R</v>
          </cell>
          <cell r="O48" t="str">
            <v>N</v>
          </cell>
          <cell r="P48" t="str">
            <v>N</v>
          </cell>
          <cell r="Q48" t="str">
            <v>N</v>
          </cell>
          <cell r="R48" t="str">
            <v>R</v>
          </cell>
          <cell r="S48" t="str">
            <v>N</v>
          </cell>
        </row>
        <row r="49">
          <cell r="A49" t="str">
            <v>95-010 OO</v>
          </cell>
          <cell r="B49">
            <v>36192</v>
          </cell>
          <cell r="C49">
            <v>2.0943000000000001</v>
          </cell>
          <cell r="D49">
            <v>0.19939999999999999</v>
          </cell>
          <cell r="E49">
            <v>0</v>
          </cell>
          <cell r="F49">
            <v>1.8599999999999998E-2</v>
          </cell>
          <cell r="G49">
            <v>3.4331</v>
          </cell>
          <cell r="H49">
            <v>-0.311</v>
          </cell>
          <cell r="I49">
            <v>-2.2499999999999999E-2</v>
          </cell>
          <cell r="J49">
            <v>2.47E-2</v>
          </cell>
          <cell r="K49">
            <v>-1.4296</v>
          </cell>
          <cell r="L49">
            <v>4.2808999999999999</v>
          </cell>
          <cell r="M49">
            <v>2.3123</v>
          </cell>
          <cell r="N49" t="str">
            <v>R</v>
          </cell>
          <cell r="O49" t="str">
            <v>N</v>
          </cell>
          <cell r="P49" t="str">
            <v>I</v>
          </cell>
          <cell r="Q49" t="str">
            <v>I</v>
          </cell>
          <cell r="R49" t="str">
            <v>R</v>
          </cell>
          <cell r="S49" t="str">
            <v>N</v>
          </cell>
        </row>
        <row r="50">
          <cell r="A50" t="str">
            <v>95-010 PP</v>
          </cell>
          <cell r="B50">
            <v>36220</v>
          </cell>
          <cell r="C50">
            <v>2.0348000000000002</v>
          </cell>
          <cell r="D50">
            <v>0.19939999999999999</v>
          </cell>
          <cell r="E50">
            <v>0</v>
          </cell>
          <cell r="F50">
            <v>1.8599999999999998E-2</v>
          </cell>
          <cell r="G50">
            <v>3.4331</v>
          </cell>
          <cell r="H50">
            <v>-0.311</v>
          </cell>
          <cell r="I50">
            <v>-2.2499999999999999E-2</v>
          </cell>
          <cell r="J50">
            <v>2.47E-2</v>
          </cell>
          <cell r="K50">
            <v>-1.4890999999999999</v>
          </cell>
          <cell r="L50">
            <v>4.2808999999999999</v>
          </cell>
          <cell r="M50">
            <v>2.2528000000000001</v>
          </cell>
          <cell r="N50" t="str">
            <v>R</v>
          </cell>
          <cell r="O50" t="str">
            <v>N</v>
          </cell>
          <cell r="P50" t="str">
            <v>N</v>
          </cell>
          <cell r="Q50" t="str">
            <v>N</v>
          </cell>
          <cell r="R50" t="str">
            <v>R</v>
          </cell>
          <cell r="S50" t="str">
            <v>N</v>
          </cell>
        </row>
        <row r="51">
          <cell r="A51" t="str">
            <v>95-010 QQ</v>
          </cell>
          <cell r="B51">
            <v>36251</v>
          </cell>
          <cell r="C51">
            <v>1.9604999999999999</v>
          </cell>
          <cell r="D51">
            <v>0.19939999999999999</v>
          </cell>
          <cell r="E51">
            <v>0</v>
          </cell>
          <cell r="F51">
            <v>1.8599999999999998E-2</v>
          </cell>
          <cell r="G51">
            <v>3.4331</v>
          </cell>
          <cell r="H51">
            <v>-0.18820000000000001</v>
          </cell>
          <cell r="I51">
            <v>-6.54E-2</v>
          </cell>
          <cell r="J51">
            <v>2.47E-2</v>
          </cell>
          <cell r="K51">
            <v>-1.4834999999999998</v>
          </cell>
          <cell r="L51">
            <v>4.2808999999999999</v>
          </cell>
          <cell r="M51">
            <v>2.1785000000000001</v>
          </cell>
          <cell r="N51" t="str">
            <v>R</v>
          </cell>
          <cell r="O51" t="str">
            <v>I</v>
          </cell>
          <cell r="P51" t="str">
            <v>R</v>
          </cell>
          <cell r="Q51" t="str">
            <v>N</v>
          </cell>
          <cell r="R51" t="str">
            <v>I</v>
          </cell>
          <cell r="S51" t="str">
            <v>N</v>
          </cell>
        </row>
        <row r="52">
          <cell r="A52" t="str">
            <v>95-010 RR</v>
          </cell>
          <cell r="B52">
            <v>36281</v>
          </cell>
          <cell r="C52">
            <v>1.8638999999999999</v>
          </cell>
          <cell r="D52">
            <v>0.19939999999999999</v>
          </cell>
          <cell r="E52">
            <v>0</v>
          </cell>
          <cell r="F52">
            <v>1.8599999999999998E-2</v>
          </cell>
          <cell r="G52">
            <v>3.4331</v>
          </cell>
          <cell r="H52">
            <v>-0.18820000000000001</v>
          </cell>
          <cell r="I52">
            <v>-6.54E-2</v>
          </cell>
          <cell r="J52">
            <v>2.47E-2</v>
          </cell>
          <cell r="K52">
            <v>-1.5800999999999998</v>
          </cell>
          <cell r="L52">
            <v>4.2808999999999999</v>
          </cell>
          <cell r="M52">
            <v>2.0819000000000001</v>
          </cell>
          <cell r="N52" t="str">
            <v>R</v>
          </cell>
          <cell r="O52" t="str">
            <v>N</v>
          </cell>
          <cell r="P52" t="str">
            <v>N</v>
          </cell>
          <cell r="Q52" t="str">
            <v>N</v>
          </cell>
          <cell r="R52" t="str">
            <v>R</v>
          </cell>
          <cell r="S52" t="str">
            <v>N</v>
          </cell>
        </row>
        <row r="53">
          <cell r="A53" t="str">
            <v>95-010 SS</v>
          </cell>
          <cell r="B53">
            <v>36312</v>
          </cell>
          <cell r="C53">
            <v>2.2873999999999999</v>
          </cell>
          <cell r="D53">
            <v>0.19939999999999999</v>
          </cell>
          <cell r="E53">
            <v>0</v>
          </cell>
          <cell r="F53">
            <v>1.8599999999999998E-2</v>
          </cell>
          <cell r="G53">
            <v>3.4331</v>
          </cell>
          <cell r="H53">
            <v>-0.18820000000000001</v>
          </cell>
          <cell r="I53">
            <v>-6.54E-2</v>
          </cell>
          <cell r="J53">
            <v>2.47E-2</v>
          </cell>
          <cell r="K53">
            <v>-1.1566000000000001</v>
          </cell>
          <cell r="L53">
            <v>4.2808999999999999</v>
          </cell>
          <cell r="M53">
            <v>2.5053999999999998</v>
          </cell>
          <cell r="N53" t="str">
            <v>I</v>
          </cell>
          <cell r="O53" t="str">
            <v>N</v>
          </cell>
          <cell r="P53" t="str">
            <v>N</v>
          </cell>
          <cell r="Q53" t="str">
            <v>N</v>
          </cell>
          <cell r="R53" t="str">
            <v>I</v>
          </cell>
          <cell r="S53" t="str">
            <v>N</v>
          </cell>
        </row>
        <row r="54">
          <cell r="A54" t="str">
            <v>95-010 TT</v>
          </cell>
          <cell r="B54">
            <v>36342</v>
          </cell>
          <cell r="C54">
            <v>2.6103999999999998</v>
          </cell>
          <cell r="D54">
            <v>0.19939999999999999</v>
          </cell>
          <cell r="E54">
            <v>0</v>
          </cell>
          <cell r="F54">
            <v>1.8599999999999998E-2</v>
          </cell>
          <cell r="G54">
            <v>3.4331</v>
          </cell>
          <cell r="H54">
            <v>-0.18820000000000001</v>
          </cell>
          <cell r="I54">
            <v>-5.5899999999999998E-2</v>
          </cell>
          <cell r="J54">
            <v>2.47E-2</v>
          </cell>
          <cell r="K54">
            <v>-0.82410000000000028</v>
          </cell>
          <cell r="L54">
            <v>4.2808999999999999</v>
          </cell>
          <cell r="M54">
            <v>2.8283999999999998</v>
          </cell>
          <cell r="N54" t="str">
            <v>I</v>
          </cell>
          <cell r="O54" t="str">
            <v>N</v>
          </cell>
          <cell r="P54" t="str">
            <v>I</v>
          </cell>
          <cell r="Q54" t="str">
            <v>N</v>
          </cell>
          <cell r="R54" t="str">
            <v>I</v>
          </cell>
          <cell r="S54" t="str">
            <v>N</v>
          </cell>
        </row>
        <row r="55">
          <cell r="A55" t="str">
            <v>95-010 UU</v>
          </cell>
          <cell r="B55">
            <v>36373</v>
          </cell>
          <cell r="C55">
            <v>2.3969</v>
          </cell>
          <cell r="D55">
            <v>0.19939999999999999</v>
          </cell>
          <cell r="E55">
            <v>0</v>
          </cell>
          <cell r="F55">
            <v>1.8599999999999998E-2</v>
          </cell>
          <cell r="G55">
            <v>3.4331</v>
          </cell>
          <cell r="H55">
            <v>-0.18820000000000001</v>
          </cell>
          <cell r="I55">
            <v>-5.5899999999999998E-2</v>
          </cell>
          <cell r="J55">
            <v>2.47E-2</v>
          </cell>
          <cell r="K55">
            <v>-1.0376000000000001</v>
          </cell>
          <cell r="L55">
            <v>4.2808999999999999</v>
          </cell>
          <cell r="M55">
            <v>2.6149</v>
          </cell>
          <cell r="N55" t="str">
            <v>R</v>
          </cell>
          <cell r="O55" t="str">
            <v>N</v>
          </cell>
          <cell r="P55" t="str">
            <v>N</v>
          </cell>
          <cell r="Q55" t="str">
            <v>N</v>
          </cell>
          <cell r="R55" t="str">
            <v>R</v>
          </cell>
          <cell r="S55" t="str">
            <v>N</v>
          </cell>
        </row>
        <row r="56">
          <cell r="A56" t="str">
            <v>95-010 VV</v>
          </cell>
          <cell r="B56">
            <v>36404</v>
          </cell>
          <cell r="C56">
            <v>2.3862000000000001</v>
          </cell>
          <cell r="D56">
            <v>0.19939999999999999</v>
          </cell>
          <cell r="E56">
            <v>0</v>
          </cell>
          <cell r="F56">
            <v>1.8599999999999998E-2</v>
          </cell>
          <cell r="G56">
            <v>3.4331</v>
          </cell>
          <cell r="H56">
            <v>-0.18820000000000001</v>
          </cell>
          <cell r="I56">
            <v>-5.5899999999999998E-2</v>
          </cell>
          <cell r="J56">
            <v>2.47E-2</v>
          </cell>
          <cell r="K56">
            <v>-1.0483</v>
          </cell>
          <cell r="L56">
            <v>4.2808999999999999</v>
          </cell>
          <cell r="M56">
            <v>2.6042000000000001</v>
          </cell>
          <cell r="N56" t="str">
            <v>R</v>
          </cell>
          <cell r="O56" t="str">
            <v>N</v>
          </cell>
          <cell r="P56" t="str">
            <v>N</v>
          </cell>
          <cell r="Q56" t="str">
            <v>N</v>
          </cell>
          <cell r="R56" t="str">
            <v>R</v>
          </cell>
          <cell r="S56" t="str">
            <v>N</v>
          </cell>
        </row>
        <row r="57">
          <cell r="A57" t="str">
            <v>95-010 WW</v>
          </cell>
          <cell r="B57">
            <v>36434</v>
          </cell>
          <cell r="C57">
            <v>2.6629</v>
          </cell>
          <cell r="D57">
            <v>0.19939999999999999</v>
          </cell>
          <cell r="E57">
            <v>0</v>
          </cell>
          <cell r="F57">
            <v>1.8599999999999998E-2</v>
          </cell>
          <cell r="G57">
            <v>3.4331</v>
          </cell>
          <cell r="H57">
            <v>-0.22389999999999999</v>
          </cell>
          <cell r="I57">
            <v>-4.5200000000000004E-2</v>
          </cell>
          <cell r="J57">
            <v>2.47E-2</v>
          </cell>
          <cell r="K57">
            <v>-0.79659999999999997</v>
          </cell>
          <cell r="L57">
            <v>4.2808999999999999</v>
          </cell>
          <cell r="M57">
            <v>2.8809</v>
          </cell>
          <cell r="N57" t="str">
            <v>I</v>
          </cell>
          <cell r="O57" t="str">
            <v>R</v>
          </cell>
          <cell r="P57" t="str">
            <v>I</v>
          </cell>
          <cell r="Q57" t="str">
            <v>N</v>
          </cell>
          <cell r="R57" t="str">
            <v>I</v>
          </cell>
          <cell r="S57" t="str">
            <v>N</v>
          </cell>
        </row>
        <row r="58">
          <cell r="A58" t="str">
            <v>95-010 XX</v>
          </cell>
          <cell r="B58">
            <v>36465</v>
          </cell>
          <cell r="C58">
            <v>2.9028</v>
          </cell>
          <cell r="D58">
            <v>0.20130000000000001</v>
          </cell>
          <cell r="E58">
            <v>0</v>
          </cell>
          <cell r="F58">
            <v>3.0000000000000001E-3</v>
          </cell>
          <cell r="G58">
            <v>3.4331</v>
          </cell>
          <cell r="H58">
            <v>-0.22389999999999999</v>
          </cell>
          <cell r="I58">
            <v>-4.5200000000000004E-2</v>
          </cell>
          <cell r="J58">
            <v>2.47E-2</v>
          </cell>
          <cell r="K58">
            <v>-0.57040000000000002</v>
          </cell>
          <cell r="L58">
            <v>4.3211000000000004</v>
          </cell>
          <cell r="M58">
            <v>3.1071</v>
          </cell>
          <cell r="N58" t="str">
            <v>I</v>
          </cell>
          <cell r="O58" t="str">
            <v>N</v>
          </cell>
          <cell r="P58" t="str">
            <v>N</v>
          </cell>
          <cell r="Q58" t="str">
            <v>N</v>
          </cell>
          <cell r="R58" t="str">
            <v>I</v>
          </cell>
          <cell r="S58" t="str">
            <v>I</v>
          </cell>
        </row>
        <row r="59">
          <cell r="A59" t="str">
            <v>95-010 YY</v>
          </cell>
          <cell r="B59">
            <v>36495</v>
          </cell>
          <cell r="C59">
            <v>2.9401000000000002</v>
          </cell>
          <cell r="D59">
            <v>0.2001</v>
          </cell>
          <cell r="E59">
            <v>0</v>
          </cell>
          <cell r="F59">
            <v>3.0000000000000001E-3</v>
          </cell>
          <cell r="G59">
            <v>3.4331</v>
          </cell>
          <cell r="H59">
            <v>-0.22389999999999999</v>
          </cell>
          <cell r="I59">
            <v>-4.5200000000000004E-2</v>
          </cell>
          <cell r="J59">
            <v>2.47E-2</v>
          </cell>
          <cell r="K59">
            <v>-0.53429999999999978</v>
          </cell>
          <cell r="L59">
            <v>4.2945000000000002</v>
          </cell>
          <cell r="M59">
            <v>3.1432000000000002</v>
          </cell>
          <cell r="N59" t="str">
            <v>I</v>
          </cell>
          <cell r="O59" t="str">
            <v>N</v>
          </cell>
          <cell r="P59" t="str">
            <v>N</v>
          </cell>
          <cell r="Q59" t="str">
            <v>N</v>
          </cell>
          <cell r="R59" t="str">
            <v>I</v>
          </cell>
          <cell r="S59" t="str">
            <v>R</v>
          </cell>
        </row>
        <row r="60">
          <cell r="A60" t="str">
            <v>99-070</v>
          </cell>
          <cell r="B60">
            <v>36526</v>
          </cell>
          <cell r="C60">
            <v>2.4571999999999998</v>
          </cell>
          <cell r="D60">
            <v>0.2001</v>
          </cell>
          <cell r="E60">
            <v>0</v>
          </cell>
          <cell r="F60">
            <v>3.0000000000000001E-3</v>
          </cell>
          <cell r="G60">
            <v>0</v>
          </cell>
          <cell r="H60">
            <v>-0.22389999999999999</v>
          </cell>
          <cell r="I60">
            <v>-4.8000000000000001E-2</v>
          </cell>
          <cell r="J60">
            <v>2.47E-2</v>
          </cell>
          <cell r="K60">
            <v>2.4131</v>
          </cell>
          <cell r="L60">
            <v>4.2945000000000002</v>
          </cell>
          <cell r="M60">
            <v>2.6602999999999999</v>
          </cell>
          <cell r="N60" t="str">
            <v>R</v>
          </cell>
          <cell r="O60" t="str">
            <v>N</v>
          </cell>
          <cell r="P60" t="str">
            <v>R</v>
          </cell>
          <cell r="Q60" t="str">
            <v>N</v>
          </cell>
          <cell r="R60" t="str">
            <v>I</v>
          </cell>
          <cell r="S60" t="str">
            <v>N</v>
          </cell>
        </row>
        <row r="61">
          <cell r="A61" t="str">
            <v>99-070 A</v>
          </cell>
          <cell r="B61">
            <v>36557</v>
          </cell>
          <cell r="C61">
            <v>2.5337000000000001</v>
          </cell>
          <cell r="D61">
            <v>0.20100000000000001</v>
          </cell>
          <cell r="E61">
            <v>0</v>
          </cell>
          <cell r="F61">
            <v>3.0000000000000001E-3</v>
          </cell>
          <cell r="G61">
            <v>0</v>
          </cell>
          <cell r="H61">
            <v>-0.22389999999999999</v>
          </cell>
          <cell r="I61">
            <v>-4.8000000000000001E-2</v>
          </cell>
          <cell r="J61">
            <v>9.3399999999999997E-2</v>
          </cell>
          <cell r="K61">
            <v>2.5592000000000001</v>
          </cell>
          <cell r="L61">
            <v>4.3144999999999998</v>
          </cell>
          <cell r="M61">
            <v>2.7377000000000002</v>
          </cell>
          <cell r="N61" t="str">
            <v>I</v>
          </cell>
          <cell r="O61" t="str">
            <v>N</v>
          </cell>
          <cell r="P61" t="str">
            <v>N</v>
          </cell>
          <cell r="Q61" t="str">
            <v>I</v>
          </cell>
          <cell r="R61" t="str">
            <v>I</v>
          </cell>
          <cell r="S61" t="str">
            <v>I</v>
          </cell>
        </row>
        <row r="62">
          <cell r="A62" t="str">
            <v>1999-070 B</v>
          </cell>
          <cell r="B62">
            <v>36617</v>
          </cell>
          <cell r="C62">
            <v>2.5337000000000001</v>
          </cell>
          <cell r="D62">
            <v>0.20100000000000001</v>
          </cell>
          <cell r="E62">
            <v>0</v>
          </cell>
          <cell r="F62">
            <v>3.0000000000000001E-3</v>
          </cell>
          <cell r="G62">
            <v>0</v>
          </cell>
          <cell r="H62">
            <v>0</v>
          </cell>
          <cell r="I62">
            <v>-5.1000000000000004E-3</v>
          </cell>
          <cell r="J62">
            <v>9.3399999999999997E-2</v>
          </cell>
          <cell r="K62">
            <v>2.8260000000000001</v>
          </cell>
          <cell r="L62">
            <v>4.3144999999999998</v>
          </cell>
          <cell r="M62">
            <v>2.7377000000000002</v>
          </cell>
          <cell r="N62" t="str">
            <v>N</v>
          </cell>
          <cell r="O62" t="str">
            <v>I</v>
          </cell>
          <cell r="P62" t="str">
            <v>I</v>
          </cell>
          <cell r="Q62" t="str">
            <v>N</v>
          </cell>
          <cell r="R62" t="str">
            <v>I</v>
          </cell>
          <cell r="S62" t="str">
            <v>N</v>
          </cell>
        </row>
        <row r="63">
          <cell r="A63" t="str">
            <v>1999-070 C</v>
          </cell>
          <cell r="B63">
            <v>36647</v>
          </cell>
          <cell r="C63">
            <v>2.5749</v>
          </cell>
          <cell r="D63">
            <v>0.20100000000000001</v>
          </cell>
          <cell r="E63">
            <v>0</v>
          </cell>
          <cell r="F63">
            <v>3.0000000000000001E-3</v>
          </cell>
          <cell r="G63">
            <v>0</v>
          </cell>
          <cell r="H63">
            <v>0.25019999999999998</v>
          </cell>
          <cell r="I63">
            <v>-5.1000000000000004E-3</v>
          </cell>
          <cell r="J63">
            <v>9.3399999999999997E-2</v>
          </cell>
          <cell r="K63">
            <v>3.1173999999999999</v>
          </cell>
          <cell r="L63">
            <v>4.3144999999999998</v>
          </cell>
          <cell r="M63">
            <v>2.7789000000000001</v>
          </cell>
          <cell r="N63" t="str">
            <v>I</v>
          </cell>
          <cell r="O63" t="str">
            <v>I</v>
          </cell>
          <cell r="P63" t="str">
            <v>N</v>
          </cell>
          <cell r="Q63" t="str">
            <v>N</v>
          </cell>
          <cell r="R63" t="str">
            <v>I</v>
          </cell>
          <cell r="S63" t="str">
            <v>N</v>
          </cell>
        </row>
        <row r="64">
          <cell r="A64" t="str">
            <v>1999-070 D</v>
          </cell>
          <cell r="B64">
            <v>36708</v>
          </cell>
          <cell r="C64">
            <v>3.1747999999999998</v>
          </cell>
          <cell r="D64">
            <v>0.20100000000000001</v>
          </cell>
          <cell r="E64">
            <v>0</v>
          </cell>
          <cell r="F64">
            <v>3.0000000000000001E-3</v>
          </cell>
          <cell r="G64">
            <v>0</v>
          </cell>
          <cell r="H64">
            <v>0.25019999999999998</v>
          </cell>
          <cell r="I64">
            <v>-5.1000000000000004E-3</v>
          </cell>
          <cell r="J64">
            <v>9.3399999999999997E-2</v>
          </cell>
          <cell r="K64">
            <v>3.7172999999999998</v>
          </cell>
          <cell r="L64">
            <v>4.3144999999999998</v>
          </cell>
          <cell r="M64">
            <v>3.3788</v>
          </cell>
          <cell r="N64" t="str">
            <v>I</v>
          </cell>
          <cell r="O64" t="str">
            <v>N</v>
          </cell>
          <cell r="P64" t="str">
            <v>N</v>
          </cell>
          <cell r="Q64" t="str">
            <v>N</v>
          </cell>
          <cell r="R64" t="str">
            <v>I</v>
          </cell>
          <cell r="S64" t="str">
            <v>N</v>
          </cell>
        </row>
        <row r="65">
          <cell r="A65" t="str">
            <v>1999-070 E</v>
          </cell>
          <cell r="B65">
            <v>36739</v>
          </cell>
          <cell r="C65">
            <v>4.6079999999999997</v>
          </cell>
          <cell r="D65">
            <v>0.20100000000000001</v>
          </cell>
          <cell r="E65">
            <v>0</v>
          </cell>
          <cell r="F65">
            <v>3.0000000000000001E-3</v>
          </cell>
          <cell r="G65">
            <v>0</v>
          </cell>
          <cell r="H65">
            <v>0.25019999999999998</v>
          </cell>
          <cell r="I65">
            <v>-1.6800000000000002E-2</v>
          </cell>
          <cell r="J65">
            <v>9.3399999999999997E-2</v>
          </cell>
          <cell r="K65">
            <v>5.1387999999999989</v>
          </cell>
          <cell r="L65">
            <v>4.3144999999999998</v>
          </cell>
          <cell r="M65">
            <v>4.8119999999999994</v>
          </cell>
          <cell r="N65" t="str">
            <v>I</v>
          </cell>
          <cell r="O65" t="str">
            <v>N</v>
          </cell>
          <cell r="P65" t="str">
            <v>R</v>
          </cell>
          <cell r="Q65" t="str">
            <v>N</v>
          </cell>
          <cell r="R65" t="str">
            <v>I</v>
          </cell>
          <cell r="S65" t="str">
            <v>N</v>
          </cell>
        </row>
        <row r="66">
          <cell r="A66" t="str">
            <v>1999-070 F</v>
          </cell>
          <cell r="B66">
            <v>36800</v>
          </cell>
          <cell r="C66">
            <v>5.2323000000000004</v>
          </cell>
          <cell r="D66">
            <v>0.20100000000000001</v>
          </cell>
          <cell r="E66">
            <v>0</v>
          </cell>
          <cell r="F66">
            <v>3.0000000000000001E-3</v>
          </cell>
          <cell r="G66">
            <v>0</v>
          </cell>
          <cell r="H66">
            <v>0.25019999999999998</v>
          </cell>
          <cell r="I66">
            <v>-1.4500000000000001E-2</v>
          </cell>
          <cell r="J66">
            <v>9.3399999999999997E-2</v>
          </cell>
          <cell r="K66">
            <v>5.7654000000000005</v>
          </cell>
          <cell r="L66">
            <v>4.3144999999999998</v>
          </cell>
          <cell r="M66">
            <v>5.4363000000000001</v>
          </cell>
          <cell r="N66" t="str">
            <v>I</v>
          </cell>
          <cell r="O66" t="str">
            <v>N</v>
          </cell>
          <cell r="P66" t="str">
            <v>I</v>
          </cell>
          <cell r="Q66" t="str">
            <v>N</v>
          </cell>
          <cell r="R66" t="str">
            <v>I</v>
          </cell>
          <cell r="S66" t="str">
            <v>N</v>
          </cell>
        </row>
        <row r="67">
          <cell r="A67" t="str">
            <v>1999-070 G</v>
          </cell>
          <cell r="B67">
            <v>36831</v>
          </cell>
          <cell r="C67">
            <v>5.5765000000000002</v>
          </cell>
          <cell r="D67">
            <v>0.18820000000000001</v>
          </cell>
          <cell r="E67">
            <v>0</v>
          </cell>
          <cell r="F67">
            <v>0</v>
          </cell>
          <cell r="G67">
            <v>0</v>
          </cell>
          <cell r="H67">
            <v>1.1344000000000001</v>
          </cell>
          <cell r="I67">
            <v>-1.4500000000000001E-2</v>
          </cell>
          <cell r="J67">
            <v>9.3399999999999997E-2</v>
          </cell>
          <cell r="K67">
            <v>6.9780000000000006</v>
          </cell>
          <cell r="L67">
            <v>4.5294999999999996</v>
          </cell>
          <cell r="M67">
            <v>5.7647000000000004</v>
          </cell>
          <cell r="N67" t="str">
            <v>I</v>
          </cell>
          <cell r="O67" t="str">
            <v>I</v>
          </cell>
          <cell r="P67" t="str">
            <v>N</v>
          </cell>
          <cell r="Q67" t="str">
            <v>N</v>
          </cell>
          <cell r="R67" t="str">
            <v>I</v>
          </cell>
          <cell r="S67" t="str">
            <v>I</v>
          </cell>
        </row>
        <row r="68">
          <cell r="A68" t="str">
            <v>1999-070 H</v>
          </cell>
          <cell r="B68">
            <v>36923</v>
          </cell>
          <cell r="C68">
            <v>6.9600999999999997</v>
          </cell>
          <cell r="D68">
            <v>0.24249999999999999</v>
          </cell>
          <cell r="E68">
            <v>0</v>
          </cell>
          <cell r="F68">
            <v>0</v>
          </cell>
          <cell r="G68">
            <v>0</v>
          </cell>
          <cell r="H68">
            <v>1.1344000000000001</v>
          </cell>
          <cell r="I68">
            <v>-1.17E-2</v>
          </cell>
          <cell r="J68">
            <v>6.0199999999999997E-2</v>
          </cell>
          <cell r="K68">
            <v>8.3855000000000004</v>
          </cell>
          <cell r="L68">
            <v>5.8369999999999997</v>
          </cell>
          <cell r="M68">
            <v>7.2025999999999994</v>
          </cell>
          <cell r="N68" t="str">
            <v>I</v>
          </cell>
          <cell r="O68" t="str">
            <v>N</v>
          </cell>
          <cell r="P68" t="str">
            <v>I</v>
          </cell>
          <cell r="Q68" t="str">
            <v>R</v>
          </cell>
          <cell r="R68" t="str">
            <v>I</v>
          </cell>
          <cell r="S68" t="str">
            <v>I</v>
          </cell>
        </row>
        <row r="69">
          <cell r="A69" t="str">
            <v>1999-070 I</v>
          </cell>
          <cell r="B69">
            <v>36951</v>
          </cell>
          <cell r="C69">
            <v>6.0629999999999997</v>
          </cell>
          <cell r="D69">
            <v>0.24249999999999999</v>
          </cell>
          <cell r="E69">
            <v>0</v>
          </cell>
          <cell r="F69">
            <v>0</v>
          </cell>
          <cell r="G69">
            <v>0</v>
          </cell>
          <cell r="H69">
            <v>1.1344000000000001</v>
          </cell>
          <cell r="I69">
            <v>-1.17E-2</v>
          </cell>
          <cell r="J69">
            <v>6.0199999999999997E-2</v>
          </cell>
          <cell r="K69">
            <v>7.4883999999999995</v>
          </cell>
          <cell r="L69">
            <v>5.8369999999999997</v>
          </cell>
          <cell r="M69">
            <v>6.3054999999999994</v>
          </cell>
          <cell r="N69" t="str">
            <v>R</v>
          </cell>
          <cell r="O69" t="str">
            <v>N</v>
          </cell>
          <cell r="P69" t="str">
            <v>N</v>
          </cell>
          <cell r="Q69" t="str">
            <v>N</v>
          </cell>
          <cell r="R69" t="str">
            <v>R</v>
          </cell>
          <cell r="S69" t="str">
            <v>N</v>
          </cell>
        </row>
        <row r="70">
          <cell r="A70" t="str">
            <v>1999-070 J</v>
          </cell>
          <cell r="B70">
            <v>36982</v>
          </cell>
          <cell r="C70">
            <v>6.0091999999999999</v>
          </cell>
          <cell r="D70">
            <v>0.24249999999999999</v>
          </cell>
          <cell r="E70">
            <v>0</v>
          </cell>
          <cell r="F70">
            <v>0</v>
          </cell>
          <cell r="G70">
            <v>0</v>
          </cell>
          <cell r="H70">
            <v>1.1344000000000001</v>
          </cell>
          <cell r="I70">
            <v>-1.17E-2</v>
          </cell>
          <cell r="J70">
            <v>6.0199999999999997E-2</v>
          </cell>
          <cell r="K70">
            <v>7.4345999999999997</v>
          </cell>
          <cell r="L70">
            <v>5.8369999999999997</v>
          </cell>
          <cell r="M70">
            <v>6.2516999999999996</v>
          </cell>
          <cell r="N70" t="str">
            <v>R</v>
          </cell>
          <cell r="O70" t="str">
            <v>N</v>
          </cell>
          <cell r="P70" t="str">
            <v>N</v>
          </cell>
          <cell r="Q70" t="str">
            <v>N</v>
          </cell>
          <cell r="R70" t="str">
            <v>R</v>
          </cell>
          <cell r="S70" t="str">
            <v>N</v>
          </cell>
        </row>
        <row r="71">
          <cell r="A71" t="str">
            <v>1999-070 K</v>
          </cell>
          <cell r="B71">
            <v>37012</v>
          </cell>
          <cell r="C71">
            <v>5.8128000000000002</v>
          </cell>
          <cell r="D71">
            <v>0.21010000000000001</v>
          </cell>
          <cell r="E71">
            <v>0</v>
          </cell>
          <cell r="F71">
            <v>0</v>
          </cell>
          <cell r="G71">
            <v>0</v>
          </cell>
          <cell r="H71">
            <v>1.4216</v>
          </cell>
          <cell r="I71">
            <v>-1.2200000000000001E-2</v>
          </cell>
          <cell r="J71">
            <v>6.0199999999999997E-2</v>
          </cell>
          <cell r="K71">
            <v>7.4924999999999997</v>
          </cell>
          <cell r="L71">
            <v>5.0563000000000002</v>
          </cell>
          <cell r="M71">
            <v>6.0228999999999999</v>
          </cell>
          <cell r="N71" t="str">
            <v>R</v>
          </cell>
          <cell r="O71" t="str">
            <v>I</v>
          </cell>
          <cell r="P71" t="str">
            <v>R</v>
          </cell>
          <cell r="Q71" t="str">
            <v>N</v>
          </cell>
          <cell r="R71" t="str">
            <v>I</v>
          </cell>
          <cell r="S71" t="str">
            <v>R</v>
          </cell>
        </row>
        <row r="72">
          <cell r="A72" t="str">
            <v>1999-070 L</v>
          </cell>
          <cell r="B72">
            <v>37043</v>
          </cell>
          <cell r="C72">
            <v>5.6711</v>
          </cell>
          <cell r="D72">
            <v>0.21010000000000001</v>
          </cell>
          <cell r="E72">
            <v>0</v>
          </cell>
          <cell r="F72">
            <v>0</v>
          </cell>
          <cell r="G72">
            <v>0</v>
          </cell>
          <cell r="H72">
            <v>1.4216</v>
          </cell>
          <cell r="I72">
            <v>-1.2200000000000001E-2</v>
          </cell>
          <cell r="J72">
            <v>6.0199999999999997E-2</v>
          </cell>
          <cell r="K72">
            <v>7.3507999999999996</v>
          </cell>
          <cell r="L72">
            <v>5.0563000000000002</v>
          </cell>
          <cell r="M72">
            <v>5.8811999999999998</v>
          </cell>
          <cell r="N72" t="str">
            <v>R</v>
          </cell>
          <cell r="O72" t="str">
            <v>N</v>
          </cell>
          <cell r="P72" t="str">
            <v>N</v>
          </cell>
          <cell r="Q72" t="str">
            <v>N</v>
          </cell>
          <cell r="R72" t="str">
            <v>R</v>
          </cell>
          <cell r="S72" t="str">
            <v>N</v>
          </cell>
        </row>
        <row r="73">
          <cell r="A73" t="str">
            <v>1999-070 M</v>
          </cell>
          <cell r="B73">
            <v>37073</v>
          </cell>
          <cell r="C73">
            <v>4.9177</v>
          </cell>
          <cell r="D73">
            <v>0.21010000000000001</v>
          </cell>
          <cell r="E73">
            <v>0</v>
          </cell>
          <cell r="F73">
            <v>0</v>
          </cell>
          <cell r="G73">
            <v>0</v>
          </cell>
          <cell r="H73">
            <v>1.4216</v>
          </cell>
          <cell r="I73">
            <v>-1.2200000000000001E-2</v>
          </cell>
          <cell r="J73">
            <v>6.0199999999999997E-2</v>
          </cell>
          <cell r="K73">
            <v>6.5973999999999995</v>
          </cell>
          <cell r="L73">
            <v>5.0563000000000002</v>
          </cell>
          <cell r="M73">
            <v>5.1277999999999997</v>
          </cell>
          <cell r="N73" t="str">
            <v>R</v>
          </cell>
          <cell r="O73" t="str">
            <v>N</v>
          </cell>
          <cell r="P73" t="str">
            <v>N</v>
          </cell>
          <cell r="Q73" t="str">
            <v>N</v>
          </cell>
          <cell r="R73" t="str">
            <v>R</v>
          </cell>
          <cell r="S73" t="str">
            <v>N</v>
          </cell>
        </row>
        <row r="74">
          <cell r="A74" t="str">
            <v>1999-070 N</v>
          </cell>
          <cell r="B74">
            <v>37104</v>
          </cell>
          <cell r="C74">
            <v>4.3213999999999997</v>
          </cell>
          <cell r="D74">
            <v>0.21010000000000001</v>
          </cell>
          <cell r="E74">
            <v>0</v>
          </cell>
          <cell r="F74">
            <v>0</v>
          </cell>
          <cell r="G74">
            <v>0</v>
          </cell>
          <cell r="H74">
            <v>1.4216</v>
          </cell>
          <cell r="I74">
            <v>-5.0000000000000001E-4</v>
          </cell>
          <cell r="J74">
            <v>6.0199999999999997E-2</v>
          </cell>
          <cell r="K74">
            <v>6.0127999999999995</v>
          </cell>
          <cell r="L74">
            <v>5.0563000000000002</v>
          </cell>
          <cell r="M74">
            <v>4.5314999999999994</v>
          </cell>
          <cell r="N74" t="str">
            <v>R</v>
          </cell>
          <cell r="O74" t="str">
            <v>N</v>
          </cell>
          <cell r="P74" t="str">
            <v>I</v>
          </cell>
          <cell r="Q74" t="str">
            <v>N</v>
          </cell>
          <cell r="R74" t="str">
            <v>R</v>
          </cell>
          <cell r="S74" t="str">
            <v>N</v>
          </cell>
        </row>
        <row r="75">
          <cell r="A75" t="str">
            <v>1999-070 O</v>
          </cell>
          <cell r="B75">
            <v>37196</v>
          </cell>
          <cell r="C75">
            <v>3.6354000000000002</v>
          </cell>
          <cell r="D75">
            <v>0.21010000000000001</v>
          </cell>
          <cell r="E75">
            <v>0</v>
          </cell>
          <cell r="F75">
            <v>0</v>
          </cell>
          <cell r="G75">
            <v>0</v>
          </cell>
          <cell r="H75">
            <v>0.1522</v>
          </cell>
          <cell r="I75">
            <v>-2.4000000000000002E-3</v>
          </cell>
          <cell r="J75">
            <v>6.0199999999999997E-2</v>
          </cell>
          <cell r="K75">
            <v>4.0555000000000003</v>
          </cell>
          <cell r="L75">
            <v>5.0563000000000002</v>
          </cell>
        </row>
        <row r="76">
          <cell r="A76" t="str">
            <v>1999-070 P</v>
          </cell>
          <cell r="B76">
            <v>37288</v>
          </cell>
          <cell r="C76">
            <v>3.34</v>
          </cell>
          <cell r="D76">
            <v>0.21010000000000001</v>
          </cell>
          <cell r="E76">
            <v>0</v>
          </cell>
          <cell r="F76">
            <v>0</v>
          </cell>
          <cell r="G76">
            <v>0</v>
          </cell>
          <cell r="H76">
            <v>3.8899999999999997E-2</v>
          </cell>
          <cell r="I76">
            <v>-2.4000000000000002E-3</v>
          </cell>
          <cell r="J76">
            <v>2.3699999999999999E-2</v>
          </cell>
          <cell r="K76">
            <v>3.6102999999999996</v>
          </cell>
          <cell r="L76">
            <v>5.0563000000000002</v>
          </cell>
        </row>
        <row r="77">
          <cell r="A77" t="str">
            <v>2002-00113</v>
          </cell>
          <cell r="B77">
            <v>37377</v>
          </cell>
          <cell r="C77">
            <v>3.5903999999999998</v>
          </cell>
          <cell r="D77">
            <v>0.21010000000000001</v>
          </cell>
          <cell r="E77">
            <v>0</v>
          </cell>
          <cell r="F77">
            <v>0</v>
          </cell>
          <cell r="G77">
            <v>0</v>
          </cell>
          <cell r="H77">
            <v>-0.2407</v>
          </cell>
          <cell r="I77">
            <v>-1.9E-3</v>
          </cell>
          <cell r="J77">
            <v>2.3699999999999999E-2</v>
          </cell>
          <cell r="K77">
            <v>3.5815999999999999</v>
          </cell>
          <cell r="L77">
            <v>5.0563000000000002</v>
          </cell>
        </row>
        <row r="78">
          <cell r="A78" t="str">
            <v>2002-00251</v>
          </cell>
          <cell r="B78">
            <v>37469</v>
          </cell>
          <cell r="C78">
            <v>3.5659999999999998</v>
          </cell>
          <cell r="D78">
            <v>0.21010000000000001</v>
          </cell>
          <cell r="E78">
            <v>0</v>
          </cell>
          <cell r="F78">
            <v>0</v>
          </cell>
          <cell r="G78">
            <v>0</v>
          </cell>
          <cell r="H78">
            <v>-0.2248</v>
          </cell>
          <cell r="I78">
            <v>-1.14E-2</v>
          </cell>
          <cell r="J78">
            <v>2.3699999999999999E-2</v>
          </cell>
          <cell r="K78">
            <v>3.5636000000000001</v>
          </cell>
          <cell r="L78">
            <v>5.0563000000000002</v>
          </cell>
        </row>
        <row r="79">
          <cell r="A79" t="str">
            <v>2002-00359</v>
          </cell>
          <cell r="B79">
            <v>37561</v>
          </cell>
          <cell r="C79">
            <v>4.0022000000000002</v>
          </cell>
          <cell r="D79">
            <v>0.19040000000000001</v>
          </cell>
          <cell r="E79">
            <v>0</v>
          </cell>
          <cell r="F79">
            <v>0</v>
          </cell>
          <cell r="G79">
            <v>0</v>
          </cell>
          <cell r="H79">
            <v>5.1999999999999998E-3</v>
          </cell>
          <cell r="I79">
            <v>-0.16690000000000002</v>
          </cell>
          <cell r="J79">
            <v>2.3699999999999999E-2</v>
          </cell>
          <cell r="K79">
            <v>4.0546000000000006</v>
          </cell>
          <cell r="L79">
            <v>4.5831999999999997</v>
          </cell>
        </row>
        <row r="80">
          <cell r="A80" t="str">
            <v>2003-00002</v>
          </cell>
          <cell r="B80">
            <v>37653</v>
          </cell>
          <cell r="C80">
            <v>4.4122000000000003</v>
          </cell>
          <cell r="D80">
            <v>0.19040000000000001</v>
          </cell>
          <cell r="E80">
            <v>0</v>
          </cell>
          <cell r="F80">
            <v>0</v>
          </cell>
          <cell r="G80">
            <v>0</v>
          </cell>
          <cell r="H80">
            <v>0.1686</v>
          </cell>
          <cell r="I80">
            <v>-0.16690000000000002</v>
          </cell>
          <cell r="J80">
            <v>7.4700000000000003E-2</v>
          </cell>
          <cell r="K80">
            <v>4.3798000000000004</v>
          </cell>
          <cell r="L80">
            <v>4.7106000000000003</v>
          </cell>
        </row>
        <row r="81">
          <cell r="A81" t="str">
            <v>2003-00083</v>
          </cell>
          <cell r="B81">
            <v>37713</v>
          </cell>
          <cell r="C81">
            <v>6.6096000000000004</v>
          </cell>
          <cell r="D81">
            <v>0.19040000000000001</v>
          </cell>
          <cell r="E81">
            <v>0</v>
          </cell>
          <cell r="F81">
            <v>0</v>
          </cell>
          <cell r="G81">
            <v>0</v>
          </cell>
          <cell r="H81">
            <v>0.1686</v>
          </cell>
          <cell r="I81">
            <v>-0.16690000000000002</v>
          </cell>
          <cell r="J81">
            <v>7.4700000000000003E-2</v>
          </cell>
          <cell r="K81">
            <v>6.8764000000000003</v>
          </cell>
          <cell r="L81">
            <v>4.7106000000000003</v>
          </cell>
        </row>
        <row r="82">
          <cell r="A82" t="str">
            <v>2003-00126</v>
          </cell>
          <cell r="B82">
            <v>37742</v>
          </cell>
          <cell r="C82">
            <v>5.5705</v>
          </cell>
          <cell r="D82">
            <v>0.19040000000000001</v>
          </cell>
          <cell r="E82">
            <v>0</v>
          </cell>
          <cell r="F82">
            <v>0</v>
          </cell>
          <cell r="G82">
            <v>0</v>
          </cell>
          <cell r="H82">
            <v>0.21640000000000001</v>
          </cell>
          <cell r="I82">
            <v>-0.16690000000000002</v>
          </cell>
          <cell r="J82">
            <v>7.4700000000000003E-2</v>
          </cell>
          <cell r="K82">
            <v>5.8851000000000004</v>
          </cell>
          <cell r="L82">
            <v>4.7106000000000003</v>
          </cell>
        </row>
        <row r="83">
          <cell r="A83" t="str">
            <v>2003-00258</v>
          </cell>
          <cell r="B83">
            <v>37834</v>
          </cell>
          <cell r="C83">
            <v>6.3529999999999998</v>
          </cell>
          <cell r="D83">
            <v>0.18709999999999999</v>
          </cell>
          <cell r="E83">
            <v>0</v>
          </cell>
          <cell r="F83">
            <v>0</v>
          </cell>
          <cell r="G83">
            <v>0</v>
          </cell>
          <cell r="H83">
            <v>0.45200000000000001</v>
          </cell>
          <cell r="I83">
            <v>-0.15740000000000001</v>
          </cell>
          <cell r="J83">
            <v>7.4700000000000003E-2</v>
          </cell>
          <cell r="K83">
            <v>6.9093999999999998</v>
          </cell>
          <cell r="L83">
            <v>4.6295999999999999</v>
          </cell>
        </row>
        <row r="84">
          <cell r="A84" t="str">
            <v>2003-00377</v>
          </cell>
          <cell r="B84">
            <v>37926</v>
          </cell>
          <cell r="C84">
            <v>5.6509999999999998</v>
          </cell>
          <cell r="D84">
            <v>0.18709999999999999</v>
          </cell>
          <cell r="E84">
            <v>0</v>
          </cell>
          <cell r="F84">
            <v>0</v>
          </cell>
          <cell r="G84">
            <v>0</v>
          </cell>
          <cell r="H84">
            <v>0.54669999999999996</v>
          </cell>
          <cell r="I84">
            <v>-5.9999999999999995E-4</v>
          </cell>
          <cell r="J84">
            <v>7.4700000000000003E-2</v>
          </cell>
          <cell r="K84">
            <v>6.4588999999999999</v>
          </cell>
          <cell r="L84">
            <v>4.6387</v>
          </cell>
        </row>
        <row r="85">
          <cell r="A85" t="str">
            <v>2003-00504</v>
          </cell>
          <cell r="B85">
            <v>38018</v>
          </cell>
          <cell r="C85">
            <v>5.9219999999999997</v>
          </cell>
          <cell r="D85">
            <v>0.18709999999999999</v>
          </cell>
          <cell r="E85">
            <v>0</v>
          </cell>
          <cell r="F85">
            <v>0</v>
          </cell>
          <cell r="G85">
            <v>0</v>
          </cell>
          <cell r="H85">
            <v>0.5554</v>
          </cell>
          <cell r="I85">
            <v>-5.9999999999999995E-4</v>
          </cell>
          <cell r="J85">
            <v>6.1199999999999997E-2</v>
          </cell>
          <cell r="K85">
            <v>6.7250999999999994</v>
          </cell>
          <cell r="L85">
            <v>4.6387</v>
          </cell>
        </row>
        <row r="86">
          <cell r="A86" t="str">
            <v>2004-00122</v>
          </cell>
          <cell r="B86">
            <v>38108</v>
          </cell>
          <cell r="C86">
            <v>6.0660999999999996</v>
          </cell>
          <cell r="D86">
            <v>0.18709999999999999</v>
          </cell>
          <cell r="E86">
            <v>0</v>
          </cell>
          <cell r="F86">
            <v>0</v>
          </cell>
          <cell r="G86">
            <v>0</v>
          </cell>
          <cell r="H86">
            <v>0.14910000000000001</v>
          </cell>
          <cell r="I86">
            <v>-5.9999999999999995E-4</v>
          </cell>
          <cell r="J86">
            <v>6.1199999999999997E-2</v>
          </cell>
          <cell r="K86">
            <v>6.4629000000000003</v>
          </cell>
          <cell r="L86">
            <v>4.6387</v>
          </cell>
        </row>
        <row r="87">
          <cell r="A87" t="str">
            <v>2004-00269</v>
          </cell>
          <cell r="B87">
            <v>38200</v>
          </cell>
          <cell r="C87">
            <v>7.0430999999999999</v>
          </cell>
          <cell r="D87">
            <v>0.18709999999999999</v>
          </cell>
          <cell r="E87">
            <v>0</v>
          </cell>
          <cell r="F87">
            <v>0</v>
          </cell>
          <cell r="G87">
            <v>0</v>
          </cell>
          <cell r="H87">
            <v>0.1148</v>
          </cell>
          <cell r="I87">
            <v>-5.3999999999999994E-3</v>
          </cell>
          <cell r="J87">
            <v>6.1199999999999997E-2</v>
          </cell>
          <cell r="K87">
            <v>7.2302</v>
          </cell>
          <cell r="L87">
            <v>4.6387</v>
          </cell>
        </row>
        <row r="88">
          <cell r="A88" t="str">
            <v>2004-00398</v>
          </cell>
          <cell r="B88">
            <v>38292</v>
          </cell>
          <cell r="C88">
            <v>6.8804999999999996</v>
          </cell>
          <cell r="D88">
            <v>0.18640000000000001</v>
          </cell>
          <cell r="E88">
            <v>0</v>
          </cell>
          <cell r="F88">
            <v>0</v>
          </cell>
          <cell r="G88">
            <v>0</v>
          </cell>
          <cell r="H88">
            <v>0.2064</v>
          </cell>
          <cell r="I88">
            <v>-4.7999999999999996E-3</v>
          </cell>
          <cell r="J88">
            <v>6.1199999999999997E-2</v>
          </cell>
          <cell r="K88">
            <v>7.3296999999999999</v>
          </cell>
          <cell r="L88">
            <v>4.6207000000000003</v>
          </cell>
        </row>
        <row r="89">
          <cell r="A89" t="str">
            <v>2005-00013</v>
          </cell>
          <cell r="B89">
            <v>38384</v>
          </cell>
          <cell r="C89">
            <v>6.7214999999999998</v>
          </cell>
          <cell r="D89">
            <v>0.18640000000000001</v>
          </cell>
          <cell r="E89">
            <v>0</v>
          </cell>
          <cell r="F89">
            <v>0</v>
          </cell>
          <cell r="G89">
            <v>0</v>
          </cell>
          <cell r="H89">
            <v>0.3876</v>
          </cell>
          <cell r="I89">
            <v>-4.7999999999999996E-3</v>
          </cell>
          <cell r="J89">
            <v>4.48E-2</v>
          </cell>
          <cell r="K89">
            <v>7.3354999999999997</v>
          </cell>
          <cell r="L89">
            <v>4.6207000000000003</v>
          </cell>
        </row>
        <row r="90">
          <cell r="A90" t="str">
            <v>2005-00139</v>
          </cell>
          <cell r="B90">
            <v>38473</v>
          </cell>
          <cell r="C90">
            <v>8.0664999999999996</v>
          </cell>
          <cell r="D90">
            <v>0.18640000000000001</v>
          </cell>
          <cell r="E90">
            <v>0</v>
          </cell>
          <cell r="F90">
            <v>0</v>
          </cell>
          <cell r="G90">
            <v>0</v>
          </cell>
          <cell r="H90">
            <v>0.34960000000000002</v>
          </cell>
          <cell r="I90">
            <v>-4.7999999999999996E-3</v>
          </cell>
          <cell r="J90">
            <v>4.48E-2</v>
          </cell>
          <cell r="K90">
            <v>8.6425000000000001</v>
          </cell>
          <cell r="L90">
            <v>4.6207000000000003</v>
          </cell>
        </row>
        <row r="91">
          <cell r="A91" t="str">
            <v>2005-00271</v>
          </cell>
          <cell r="B91">
            <v>38565</v>
          </cell>
          <cell r="C91">
            <v>8.327</v>
          </cell>
          <cell r="D91">
            <v>0.18640000000000001</v>
          </cell>
          <cell r="E91">
            <v>0</v>
          </cell>
          <cell r="F91">
            <v>0</v>
          </cell>
          <cell r="G91">
            <v>0</v>
          </cell>
          <cell r="H91">
            <v>5.7599999999999998E-2</v>
          </cell>
          <cell r="I91">
            <v>-4.7999999999999996E-3</v>
          </cell>
          <cell r="J91">
            <v>4.48E-2</v>
          </cell>
          <cell r="K91">
            <v>8.6110000000000024</v>
          </cell>
          <cell r="L91">
            <v>4.6207000000000003</v>
          </cell>
        </row>
        <row r="92">
          <cell r="A92" t="str">
            <v>2005-00354</v>
          </cell>
          <cell r="B92">
            <v>38626</v>
          </cell>
          <cell r="C92">
            <v>10.2639</v>
          </cell>
          <cell r="D92">
            <v>0.18640000000000001</v>
          </cell>
          <cell r="E92">
            <v>0</v>
          </cell>
          <cell r="F92">
            <v>0</v>
          </cell>
          <cell r="G92">
            <v>0</v>
          </cell>
          <cell r="H92">
            <v>5.7599999999999998E-2</v>
          </cell>
          <cell r="I92">
            <v>-4.7999999999999996E-3</v>
          </cell>
          <cell r="J92">
            <v>4.48E-2</v>
          </cell>
          <cell r="K92">
            <v>10.547900000000002</v>
          </cell>
          <cell r="L92">
            <v>4.6207000000000003</v>
          </cell>
        </row>
        <row r="93">
          <cell r="A93" t="str">
            <v>2005-00399</v>
          </cell>
          <cell r="B93">
            <v>38657</v>
          </cell>
          <cell r="C93">
            <v>9.9666999999999994</v>
          </cell>
          <cell r="D93">
            <v>0.18640000000000001</v>
          </cell>
          <cell r="E93">
            <v>0</v>
          </cell>
          <cell r="F93">
            <v>0</v>
          </cell>
          <cell r="G93">
            <v>0</v>
          </cell>
          <cell r="H93">
            <v>0.40460000000000002</v>
          </cell>
          <cell r="I93">
            <v>-1.6999999999999999E-3</v>
          </cell>
          <cell r="J93">
            <v>4.48E-2</v>
          </cell>
          <cell r="K93">
            <v>10.600800000000001</v>
          </cell>
          <cell r="L93">
            <v>4.5575999999999999</v>
          </cell>
        </row>
        <row r="94">
          <cell r="A94" t="str">
            <v>2005-00552</v>
          </cell>
          <cell r="B94">
            <v>38749</v>
          </cell>
          <cell r="C94">
            <v>10.3019</v>
          </cell>
          <cell r="D94">
            <v>0.2195</v>
          </cell>
          <cell r="E94">
            <v>0</v>
          </cell>
          <cell r="F94">
            <v>0</v>
          </cell>
          <cell r="G94">
            <v>0</v>
          </cell>
          <cell r="H94">
            <v>0.77170000000000005</v>
          </cell>
          <cell r="I94">
            <v>-1.6999999999999999E-3</v>
          </cell>
          <cell r="J94">
            <v>3.9899999999999998E-2</v>
          </cell>
          <cell r="K94">
            <v>11.331299999999999</v>
          </cell>
          <cell r="L94">
            <v>5.4417999999999997</v>
          </cell>
        </row>
        <row r="95">
          <cell r="A95" t="str">
            <v>2006-00135</v>
          </cell>
          <cell r="B95">
            <v>38838</v>
          </cell>
          <cell r="C95">
            <v>7.9545000000000003</v>
          </cell>
          <cell r="D95">
            <v>0.18390000000000001</v>
          </cell>
          <cell r="E95">
            <v>0</v>
          </cell>
          <cell r="F95">
            <v>0</v>
          </cell>
          <cell r="G95">
            <v>0</v>
          </cell>
          <cell r="H95">
            <v>0.29880000000000001</v>
          </cell>
          <cell r="I95">
            <v>-1.6999999999999999E-3</v>
          </cell>
          <cell r="J95">
            <v>3.9899999999999998E-2</v>
          </cell>
          <cell r="K95">
            <v>8.4754000000000005</v>
          </cell>
          <cell r="L95">
            <v>4.5575999999999999</v>
          </cell>
        </row>
        <row r="96">
          <cell r="A96" t="str">
            <v>2006-00324</v>
          </cell>
          <cell r="B96">
            <v>38930</v>
          </cell>
          <cell r="C96">
            <v>7.7975000000000003</v>
          </cell>
          <cell r="D96">
            <v>0.18390000000000001</v>
          </cell>
          <cell r="E96">
            <v>0</v>
          </cell>
          <cell r="F96">
            <v>0</v>
          </cell>
          <cell r="G96">
            <v>0</v>
          </cell>
          <cell r="H96">
            <v>-0.1749</v>
          </cell>
          <cell r="I96">
            <v>-1.6999999999999999E-3</v>
          </cell>
          <cell r="J96">
            <v>3.9899999999999998E-2</v>
          </cell>
          <cell r="K96">
            <v>7.8447000000000013</v>
          </cell>
          <cell r="L96">
            <v>4.5575999999999999</v>
          </cell>
        </row>
        <row r="97">
          <cell r="A97" t="str">
            <v>2006-00428</v>
          </cell>
          <cell r="B97">
            <v>39022</v>
          </cell>
          <cell r="C97">
            <v>8.0540000000000003</v>
          </cell>
          <cell r="D97">
            <v>0.18390000000000001</v>
          </cell>
          <cell r="E97">
            <v>0</v>
          </cell>
          <cell r="F97">
            <v>0</v>
          </cell>
          <cell r="G97">
            <v>0</v>
          </cell>
          <cell r="H97">
            <v>-0.30880000000000002</v>
          </cell>
          <cell r="I97">
            <v>-5.5399999999999998E-2</v>
          </cell>
          <cell r="J97">
            <v>3.9899999999999998E-2</v>
          </cell>
          <cell r="K97">
            <v>7.9136000000000006</v>
          </cell>
          <cell r="L97">
            <v>4.5575999999999999</v>
          </cell>
        </row>
        <row r="98">
          <cell r="M98" t="str">
            <v>Source: Exhibit A</v>
          </cell>
        </row>
      </sheetData>
      <sheetData sheetId="38">
        <row r="8">
          <cell r="A8" t="str">
            <v>95-010 C</v>
          </cell>
          <cell r="B8">
            <v>34943</v>
          </cell>
          <cell r="C8">
            <v>1.6788000000000001</v>
          </cell>
          <cell r="D8">
            <v>0.97670000000000001</v>
          </cell>
          <cell r="E8">
            <v>-1.9E-3</v>
          </cell>
        </row>
        <row r="9">
          <cell r="A9" t="str">
            <v>95-010 D</v>
          </cell>
          <cell r="B9">
            <v>34973</v>
          </cell>
          <cell r="C9">
            <v>1.7593000000000001</v>
          </cell>
          <cell r="D9">
            <v>0.96160000000000001</v>
          </cell>
          <cell r="E9">
            <v>3.5000000000000001E-3</v>
          </cell>
        </row>
        <row r="10">
          <cell r="A10" t="str">
            <v>95-010 E</v>
          </cell>
          <cell r="B10">
            <v>35004</v>
          </cell>
          <cell r="C10">
            <v>1.8481000000000001</v>
          </cell>
          <cell r="D10">
            <v>0.96550000000000002</v>
          </cell>
          <cell r="E10">
            <v>3.2500000000000001E-2</v>
          </cell>
        </row>
        <row r="11">
          <cell r="A11" t="str">
            <v>95-010 F</v>
          </cell>
          <cell r="B11">
            <v>35034</v>
          </cell>
          <cell r="C11">
            <v>2.5830000000000002</v>
          </cell>
          <cell r="D11">
            <v>0.96189999999999998</v>
          </cell>
          <cell r="E11">
            <v>0.19769999999999999</v>
          </cell>
        </row>
        <row r="12">
          <cell r="A12" t="str">
            <v>95-010 G</v>
          </cell>
          <cell r="B12">
            <v>35065</v>
          </cell>
          <cell r="C12">
            <v>3.6097000000000001</v>
          </cell>
          <cell r="D12">
            <v>0.94950000000000001</v>
          </cell>
          <cell r="E12">
            <v>1.29E-2</v>
          </cell>
        </row>
        <row r="13">
          <cell r="A13" t="str">
            <v>95-010 H</v>
          </cell>
          <cell r="B13">
            <v>35096</v>
          </cell>
          <cell r="C13">
            <v>3.1621000000000001</v>
          </cell>
          <cell r="D13">
            <v>0.96340000000000003</v>
          </cell>
          <cell r="E13">
            <v>3.8999999999999998E-3</v>
          </cell>
        </row>
        <row r="14">
          <cell r="A14" t="str">
            <v>95-010 I</v>
          </cell>
          <cell r="B14">
            <v>35125</v>
          </cell>
          <cell r="C14">
            <v>3.0878000000000001</v>
          </cell>
          <cell r="D14">
            <v>1.0442</v>
          </cell>
          <cell r="E14">
            <v>7.6999999999998181E-3</v>
          </cell>
        </row>
        <row r="15">
          <cell r="A15" t="str">
            <v>95-010 J</v>
          </cell>
          <cell r="B15">
            <v>35156</v>
          </cell>
          <cell r="C15">
            <v>2.9451999999999998</v>
          </cell>
          <cell r="D15">
            <v>1.0583</v>
          </cell>
          <cell r="E15">
            <v>5.0399999999999778E-2</v>
          </cell>
        </row>
        <row r="16">
          <cell r="A16" t="str">
            <v>95-010 K</v>
          </cell>
          <cell r="B16">
            <v>35186</v>
          </cell>
          <cell r="C16">
            <v>2.3868999999999998</v>
          </cell>
          <cell r="D16">
            <v>0.94279999999999997</v>
          </cell>
          <cell r="E16">
            <v>2.12E-2</v>
          </cell>
        </row>
        <row r="17">
          <cell r="A17" t="str">
            <v>95-010 L</v>
          </cell>
          <cell r="B17">
            <v>35217</v>
          </cell>
          <cell r="C17">
            <v>2.5070000000000001</v>
          </cell>
          <cell r="D17">
            <v>0.80870000000000009</v>
          </cell>
          <cell r="E17">
            <v>-3.0199999999999783E-2</v>
          </cell>
        </row>
        <row r="18">
          <cell r="A18" t="str">
            <v>95-010 M</v>
          </cell>
          <cell r="B18">
            <v>35247</v>
          </cell>
          <cell r="C18">
            <v>2.8332000000000002</v>
          </cell>
          <cell r="D18">
            <v>0.80640000000000001</v>
          </cell>
          <cell r="E18">
            <v>-1.8E-3</v>
          </cell>
        </row>
        <row r="19">
          <cell r="A19" t="str">
            <v>95-010 N</v>
          </cell>
          <cell r="B19">
            <v>35278</v>
          </cell>
          <cell r="C19">
            <v>2.4481999999999999</v>
          </cell>
          <cell r="D19">
            <v>0.80049999999999999</v>
          </cell>
          <cell r="E19">
            <v>0</v>
          </cell>
        </row>
        <row r="20">
          <cell r="A20" t="str">
            <v>95-010 O</v>
          </cell>
          <cell r="B20">
            <v>35309</v>
          </cell>
          <cell r="C20">
            <v>2.3172999999999999</v>
          </cell>
          <cell r="D20">
            <v>0.86319999999999997</v>
          </cell>
          <cell r="E20">
            <v>3.4000000000000252E-2</v>
          </cell>
        </row>
        <row r="21">
          <cell r="A21" t="str">
            <v>95-010 P</v>
          </cell>
          <cell r="B21">
            <v>35339</v>
          </cell>
          <cell r="C21">
            <v>2.0539000000000001</v>
          </cell>
          <cell r="D21">
            <v>0.85729999999999995</v>
          </cell>
          <cell r="E21">
            <v>-0.23839999999999995</v>
          </cell>
        </row>
        <row r="22">
          <cell r="A22" t="str">
            <v>95-010 Q</v>
          </cell>
          <cell r="B22">
            <v>35370</v>
          </cell>
          <cell r="C22">
            <v>3.1606000000000001</v>
          </cell>
          <cell r="D22">
            <v>0.8196</v>
          </cell>
          <cell r="E22">
            <v>3.7000000000000002E-3</v>
          </cell>
        </row>
        <row r="23">
          <cell r="A23" t="str">
            <v>95-010 R</v>
          </cell>
          <cell r="B23">
            <v>35400</v>
          </cell>
          <cell r="C23">
            <v>4.3159000000000001</v>
          </cell>
          <cell r="D23">
            <v>0.79309999999999992</v>
          </cell>
          <cell r="E23">
            <v>-1.6000000000000014E-2</v>
          </cell>
        </row>
        <row r="24">
          <cell r="A24" t="str">
            <v>95-010 S</v>
          </cell>
          <cell r="B24">
            <v>35431</v>
          </cell>
          <cell r="C24">
            <v>4.2289000000000003</v>
          </cell>
          <cell r="D24">
            <v>0.80519999999999992</v>
          </cell>
          <cell r="E24">
            <v>1.000000000000334E-3</v>
          </cell>
        </row>
        <row r="25">
          <cell r="A25" t="str">
            <v>95-010 T</v>
          </cell>
          <cell r="B25">
            <v>35462</v>
          </cell>
          <cell r="C25">
            <v>3.1</v>
          </cell>
          <cell r="D25">
            <v>0.80510000000000004</v>
          </cell>
          <cell r="E25">
            <v>9.9000000000000199E-3</v>
          </cell>
        </row>
        <row r="26">
          <cell r="A26" t="str">
            <v>95-010 U</v>
          </cell>
          <cell r="B26">
            <v>35490</v>
          </cell>
          <cell r="C26">
            <v>1.9297</v>
          </cell>
          <cell r="D26">
            <v>0.8054</v>
          </cell>
          <cell r="E26">
            <v>-5.3900000000000059E-2</v>
          </cell>
        </row>
        <row r="27">
          <cell r="A27" t="str">
            <v>95-010 V</v>
          </cell>
          <cell r="B27">
            <v>35521</v>
          </cell>
          <cell r="C27">
            <v>2.1265000000000001</v>
          </cell>
          <cell r="D27">
            <v>0.78969999999999985</v>
          </cell>
          <cell r="E27">
            <v>-1.4100000000000001E-2</v>
          </cell>
        </row>
        <row r="28">
          <cell r="A28" t="str">
            <v>95-010 W</v>
          </cell>
          <cell r="B28">
            <v>35551</v>
          </cell>
          <cell r="C28">
            <v>2.3639999999999999</v>
          </cell>
          <cell r="D28">
            <v>0.78969999999999996</v>
          </cell>
          <cell r="E28">
            <v>-0.12110000000000021</v>
          </cell>
        </row>
        <row r="29">
          <cell r="A29" t="str">
            <v>95-010 X</v>
          </cell>
          <cell r="B29">
            <v>35582</v>
          </cell>
          <cell r="C29">
            <v>2.4377</v>
          </cell>
          <cell r="D29">
            <v>0.89570000000000016</v>
          </cell>
          <cell r="E29">
            <v>0</v>
          </cell>
        </row>
        <row r="30">
          <cell r="A30" t="str">
            <v>95-010 Y</v>
          </cell>
          <cell r="B30">
            <v>35612</v>
          </cell>
          <cell r="C30">
            <v>2.5013000000000001</v>
          </cell>
          <cell r="D30">
            <v>0.84920000000000018</v>
          </cell>
          <cell r="E30">
            <v>8.1000000000002181E-3</v>
          </cell>
        </row>
        <row r="31">
          <cell r="A31" t="str">
            <v>95-010 Z</v>
          </cell>
          <cell r="B31">
            <v>35643</v>
          </cell>
          <cell r="C31">
            <v>2.3273999999999999</v>
          </cell>
          <cell r="D31">
            <v>0.98920000000000008</v>
          </cell>
          <cell r="E31">
            <v>-9.800000000000253E-3</v>
          </cell>
        </row>
        <row r="32">
          <cell r="A32" t="str">
            <v>95-010 AA</v>
          </cell>
          <cell r="B32">
            <v>35674</v>
          </cell>
          <cell r="C32">
            <v>2.4371999999999998</v>
          </cell>
          <cell r="D32">
            <v>0.83700000000000008</v>
          </cell>
          <cell r="E32">
            <v>2.2499999999999999E-2</v>
          </cell>
        </row>
        <row r="33">
          <cell r="A33" t="str">
            <v>95-010 BB</v>
          </cell>
          <cell r="B33">
            <v>35704</v>
          </cell>
          <cell r="C33">
            <v>3.1143000000000001</v>
          </cell>
          <cell r="D33">
            <v>0.8519000000000001</v>
          </cell>
          <cell r="E33">
            <v>5.4000000000002935E-3</v>
          </cell>
        </row>
        <row r="34">
          <cell r="A34" t="str">
            <v>95-010 CC</v>
          </cell>
          <cell r="B34">
            <v>35735</v>
          </cell>
          <cell r="C34">
            <v>3.4891999999999999</v>
          </cell>
          <cell r="D34">
            <v>0.8519000000000001</v>
          </cell>
          <cell r="E34">
            <v>-0.10470000000000024</v>
          </cell>
        </row>
        <row r="35">
          <cell r="A35" t="str">
            <v>95-010 DD</v>
          </cell>
          <cell r="B35">
            <v>35765</v>
          </cell>
          <cell r="C35">
            <v>2.6930999999999998</v>
          </cell>
          <cell r="D35">
            <v>1.0055000000000001</v>
          </cell>
          <cell r="E35">
            <v>0.115</v>
          </cell>
        </row>
        <row r="36">
          <cell r="A36" t="str">
            <v>95-010 EE</v>
          </cell>
          <cell r="B36">
            <v>35796</v>
          </cell>
          <cell r="C36">
            <v>2.4893999999999998</v>
          </cell>
          <cell r="D36">
            <v>1.0055000000000001</v>
          </cell>
          <cell r="E36">
            <v>-4.469999999999974E-2</v>
          </cell>
        </row>
        <row r="37">
          <cell r="A37" t="str">
            <v>95-010 FF</v>
          </cell>
          <cell r="B37">
            <v>35827</v>
          </cell>
          <cell r="C37">
            <v>2.3378000000000001</v>
          </cell>
          <cell r="D37">
            <v>1.0055000000000001</v>
          </cell>
          <cell r="E37">
            <v>-6.7799999999999638E-2</v>
          </cell>
        </row>
        <row r="38">
          <cell r="A38" t="str">
            <v>95-010 GG</v>
          </cell>
          <cell r="B38">
            <v>35855</v>
          </cell>
          <cell r="C38">
            <v>2.3269000000000002</v>
          </cell>
          <cell r="D38">
            <v>0.85660000000000003</v>
          </cell>
          <cell r="E38">
            <v>-0.15920000000000023</v>
          </cell>
        </row>
        <row r="39">
          <cell r="A39" t="str">
            <v>95-010 HH</v>
          </cell>
          <cell r="B39">
            <v>35886</v>
          </cell>
          <cell r="C39">
            <v>2.4558</v>
          </cell>
          <cell r="D39">
            <v>0.79020000000000001</v>
          </cell>
          <cell r="E39">
            <v>0.10379999999999967</v>
          </cell>
        </row>
        <row r="40">
          <cell r="A40" t="str">
            <v>95-010 II</v>
          </cell>
          <cell r="B40">
            <v>35916</v>
          </cell>
          <cell r="C40">
            <v>2.2869000000000002</v>
          </cell>
          <cell r="D40">
            <v>0.79020000000000001</v>
          </cell>
          <cell r="E40">
            <v>5.259999999999998E-2</v>
          </cell>
        </row>
        <row r="41">
          <cell r="A41" t="str">
            <v>95-010 JJ</v>
          </cell>
          <cell r="B41">
            <v>35947</v>
          </cell>
          <cell r="C41">
            <v>2.3929999999999998</v>
          </cell>
          <cell r="D41">
            <v>0.83899999999999997</v>
          </cell>
          <cell r="E41">
            <v>-1.3700000000000045E-2</v>
          </cell>
        </row>
        <row r="42">
          <cell r="A42" t="str">
            <v>95-010 KK</v>
          </cell>
          <cell r="B42">
            <v>35977</v>
          </cell>
          <cell r="C42">
            <v>2.4350999999999998</v>
          </cell>
          <cell r="D42">
            <v>0.83599999999999997</v>
          </cell>
          <cell r="E42">
            <v>1.4300000000000423E-2</v>
          </cell>
        </row>
        <row r="43">
          <cell r="A43" t="str">
            <v>95-010 LL</v>
          </cell>
          <cell r="B43">
            <v>36008</v>
          </cell>
          <cell r="C43">
            <v>1.9495</v>
          </cell>
          <cell r="D43">
            <v>0.83599999999999997</v>
          </cell>
          <cell r="E43">
            <v>-3.0899999999999928E-2</v>
          </cell>
        </row>
        <row r="44">
          <cell r="A44" t="str">
            <v>95-010 MM</v>
          </cell>
          <cell r="B44">
            <v>36039</v>
          </cell>
          <cell r="C44">
            <v>1.9322999999999999</v>
          </cell>
          <cell r="D44">
            <v>0.83599999999999997</v>
          </cell>
          <cell r="E44">
            <v>0.70840000000000014</v>
          </cell>
        </row>
        <row r="45">
          <cell r="A45" t="str">
            <v>95-010 NN</v>
          </cell>
          <cell r="B45">
            <v>36069</v>
          </cell>
          <cell r="C45">
            <v>1.8403</v>
          </cell>
          <cell r="D45">
            <v>0.83599999999999997</v>
          </cell>
          <cell r="E45">
            <v>-9.199999999999986E-2</v>
          </cell>
        </row>
        <row r="46">
          <cell r="A46" t="str">
            <v>95-010 OO</v>
          </cell>
          <cell r="B46">
            <v>36100</v>
          </cell>
          <cell r="C46">
            <v>2.0097</v>
          </cell>
          <cell r="D46">
            <v>0.76989999999999992</v>
          </cell>
          <cell r="E46">
            <v>0.1694</v>
          </cell>
        </row>
        <row r="47">
          <cell r="A47" t="str">
            <v>95-010 PP</v>
          </cell>
          <cell r="B47">
            <v>36130</v>
          </cell>
          <cell r="C47">
            <v>2.1608000000000001</v>
          </cell>
          <cell r="D47">
            <v>0.76989999999999992</v>
          </cell>
          <cell r="E47">
            <v>0.15110000000000001</v>
          </cell>
        </row>
        <row r="48">
          <cell r="A48" t="str">
            <v>95-010 QQ</v>
          </cell>
          <cell r="B48">
            <v>36161</v>
          </cell>
          <cell r="C48">
            <v>1.9796</v>
          </cell>
          <cell r="D48">
            <v>0.76989999999999992</v>
          </cell>
          <cell r="E48">
            <v>-0.18730000000000002</v>
          </cell>
        </row>
        <row r="49">
          <cell r="A49" t="str">
            <v>95-010 RR</v>
          </cell>
          <cell r="B49">
            <v>36192</v>
          </cell>
          <cell r="C49">
            <v>1.8795999999999999</v>
          </cell>
          <cell r="D49">
            <v>0.76989999999999992</v>
          </cell>
          <cell r="E49">
            <v>-0.1</v>
          </cell>
        </row>
        <row r="50">
          <cell r="A50" t="str">
            <v>95-010 SS</v>
          </cell>
          <cell r="B50">
            <v>36220</v>
          </cell>
          <cell r="C50">
            <v>1.9111</v>
          </cell>
          <cell r="D50">
            <v>0.76989999999999992</v>
          </cell>
          <cell r="E50">
            <v>3.15E-2</v>
          </cell>
        </row>
        <row r="51">
          <cell r="A51" t="str">
            <v>95-010 TT</v>
          </cell>
          <cell r="B51">
            <v>36251</v>
          </cell>
          <cell r="C51">
            <v>1.7602</v>
          </cell>
          <cell r="D51">
            <v>0.76990000000000003</v>
          </cell>
          <cell r="E51">
            <v>-0.1608</v>
          </cell>
        </row>
        <row r="52">
          <cell r="A52" t="str">
            <v>95-010 UU</v>
          </cell>
          <cell r="B52">
            <v>36281</v>
          </cell>
          <cell r="C52">
            <v>2.0323000000000002</v>
          </cell>
          <cell r="D52">
            <v>0.7286999999999999</v>
          </cell>
          <cell r="E52">
            <v>0.27210000000000001</v>
          </cell>
        </row>
        <row r="53">
          <cell r="A53" t="str">
            <v>95-010 VV</v>
          </cell>
          <cell r="B53">
            <v>36312</v>
          </cell>
          <cell r="C53">
            <v>2.3763000000000001</v>
          </cell>
          <cell r="D53">
            <v>0.7286999999999999</v>
          </cell>
          <cell r="E53">
            <v>0.34399999999999997</v>
          </cell>
        </row>
        <row r="54">
          <cell r="A54" t="str">
            <v>95-010 WW</v>
          </cell>
          <cell r="B54">
            <v>36342</v>
          </cell>
          <cell r="C54">
            <v>2.3330000000000002</v>
          </cell>
          <cell r="D54">
            <v>0.73169999999999991</v>
          </cell>
          <cell r="E54">
            <v>-4.5100000000000001E-2</v>
          </cell>
        </row>
        <row r="55">
          <cell r="A55" t="str">
            <v>95-010 XX</v>
          </cell>
          <cell r="B55">
            <v>36373</v>
          </cell>
          <cell r="C55">
            <v>2.2801</v>
          </cell>
          <cell r="D55">
            <v>0.73169999999999991</v>
          </cell>
          <cell r="E55">
            <v>-5.2900000000000003E-2</v>
          </cell>
        </row>
        <row r="56">
          <cell r="A56" t="str">
            <v>95-010 YY</v>
          </cell>
          <cell r="B56">
            <v>36404</v>
          </cell>
          <cell r="C56">
            <v>2.2353000000000001</v>
          </cell>
          <cell r="D56">
            <v>0.73169999999999991</v>
          </cell>
          <cell r="E56">
            <v>0.51049999999999995</v>
          </cell>
        </row>
        <row r="57">
          <cell r="A57" t="str">
            <v>99-070</v>
          </cell>
          <cell r="B57">
            <v>36434</v>
          </cell>
          <cell r="C57">
            <v>2.9076</v>
          </cell>
          <cell r="D57">
            <v>0.73169999999999991</v>
          </cell>
          <cell r="E57">
            <v>0.67230000000000001</v>
          </cell>
        </row>
        <row r="58">
          <cell r="A58" t="str">
            <v>99-070 A</v>
          </cell>
          <cell r="B58">
            <v>36465</v>
          </cell>
          <cell r="C58">
            <v>2.6151</v>
          </cell>
          <cell r="D58">
            <v>0.72319999999999995</v>
          </cell>
          <cell r="E58">
            <v>-9.98E-2</v>
          </cell>
        </row>
        <row r="59">
          <cell r="A59" t="str">
            <v>1999-070 B</v>
          </cell>
          <cell r="B59">
            <v>36526</v>
          </cell>
          <cell r="C59">
            <v>2.6151</v>
          </cell>
          <cell r="D59">
            <v>0.71859999999999991</v>
          </cell>
          <cell r="E59">
            <v>-9.98E-2</v>
          </cell>
        </row>
        <row r="60">
          <cell r="A60" t="str">
            <v>1999-070 C</v>
          </cell>
          <cell r="B60">
            <v>36557</v>
          </cell>
          <cell r="C60">
            <v>3.1292</v>
          </cell>
          <cell r="D60">
            <v>0.72209999999999996</v>
          </cell>
          <cell r="E60">
            <v>0.46689999999999998</v>
          </cell>
        </row>
        <row r="61">
          <cell r="A61" t="str">
            <v>1999-070 D</v>
          </cell>
          <cell r="B61">
            <v>36617</v>
          </cell>
          <cell r="C61">
            <v>2.8828</v>
          </cell>
          <cell r="D61">
            <v>0.76329999999999998</v>
          </cell>
          <cell r="E61">
            <v>9.0700000000000003E-2</v>
          </cell>
        </row>
        <row r="62">
          <cell r="A62" t="str">
            <v>1999-070 E</v>
          </cell>
          <cell r="B62">
            <v>36647</v>
          </cell>
          <cell r="C62">
            <v>3.1551999999999998</v>
          </cell>
          <cell r="D62">
            <v>0.76329999999999998</v>
          </cell>
          <cell r="E62">
            <v>0.27239999999999998</v>
          </cell>
        </row>
        <row r="63">
          <cell r="A63" t="str">
            <v>1999-070 F</v>
          </cell>
          <cell r="B63">
            <v>36708</v>
          </cell>
          <cell r="C63">
            <v>4.6307999999999998</v>
          </cell>
          <cell r="D63">
            <v>0.76329999999999998</v>
          </cell>
          <cell r="E63">
            <v>1.1285000000000001</v>
          </cell>
        </row>
        <row r="64">
          <cell r="A64" t="str">
            <v>1999-070 G</v>
          </cell>
          <cell r="B64">
            <v>36739</v>
          </cell>
          <cell r="C64">
            <v>4.4837999999999996</v>
          </cell>
          <cell r="D64">
            <v>0.76329999999999998</v>
          </cell>
          <cell r="E64">
            <v>-0.14700000000000024</v>
          </cell>
        </row>
        <row r="65">
          <cell r="A65" t="str">
            <v>1999-070 H</v>
          </cell>
          <cell r="B65">
            <v>36831</v>
          </cell>
          <cell r="C65">
            <v>5.4024000000000001</v>
          </cell>
          <cell r="D65">
            <v>0.9506</v>
          </cell>
          <cell r="E65">
            <v>0.30630000000000002</v>
          </cell>
        </row>
        <row r="66">
          <cell r="A66" t="str">
            <v>1999-070 I</v>
          </cell>
          <cell r="B66">
            <v>36861</v>
          </cell>
          <cell r="C66">
            <v>5.2557999999999998</v>
          </cell>
          <cell r="D66">
            <v>0.9506</v>
          </cell>
          <cell r="E66">
            <v>-0.14660000000000001</v>
          </cell>
        </row>
        <row r="67">
          <cell r="A67" t="str">
            <v>1999-070 J</v>
          </cell>
          <cell r="B67">
            <v>36892</v>
          </cell>
          <cell r="C67">
            <v>8.2843999999999998</v>
          </cell>
          <cell r="D67">
            <v>0.9506</v>
          </cell>
          <cell r="E67">
            <v>3.0286</v>
          </cell>
        </row>
        <row r="68">
          <cell r="A68" t="str">
            <v>1999-070 K</v>
          </cell>
          <cell r="B68">
            <v>36923</v>
          </cell>
          <cell r="C68">
            <v>9.5794999999999995</v>
          </cell>
          <cell r="D68">
            <v>1.2250000000000001</v>
          </cell>
          <cell r="E68">
            <v>1.2950999999999999</v>
          </cell>
        </row>
        <row r="69">
          <cell r="A69" t="str">
            <v>1999-070 L</v>
          </cell>
          <cell r="B69">
            <v>36951</v>
          </cell>
          <cell r="C69">
            <v>6.1877000000000004</v>
          </cell>
          <cell r="D69">
            <v>1.2250000000000001</v>
          </cell>
          <cell r="E69">
            <v>-3.3917999999999999</v>
          </cell>
        </row>
        <row r="70">
          <cell r="A70" t="str">
            <v>1999-070 M</v>
          </cell>
          <cell r="B70">
            <v>36982</v>
          </cell>
          <cell r="C70">
            <v>5.2763</v>
          </cell>
          <cell r="D70">
            <v>1.2250000000000001</v>
          </cell>
          <cell r="E70">
            <v>-0.91139999999999999</v>
          </cell>
        </row>
        <row r="71">
          <cell r="A71" t="str">
            <v>1999-070 M</v>
          </cell>
          <cell r="B71">
            <v>37012</v>
          </cell>
          <cell r="C71">
            <v>5.4908999999999999</v>
          </cell>
          <cell r="D71">
            <v>1.0611999999999999</v>
          </cell>
          <cell r="E71">
            <v>0.21460000000000001</v>
          </cell>
        </row>
        <row r="72">
          <cell r="A72" t="str">
            <v>1999-070 N</v>
          </cell>
          <cell r="B72">
            <v>37104</v>
          </cell>
          <cell r="C72">
            <v>3.2307999999999999</v>
          </cell>
          <cell r="D72">
            <v>1.0611999999999999</v>
          </cell>
          <cell r="E72">
            <v>-0.63959999999999995</v>
          </cell>
        </row>
        <row r="73">
          <cell r="A73" t="str">
            <v>1999-070 O</v>
          </cell>
          <cell r="B73">
            <v>37196</v>
          </cell>
          <cell r="C73">
            <v>1.9111</v>
          </cell>
          <cell r="D73">
            <v>1.0611999999999999</v>
          </cell>
          <cell r="E73">
            <v>3.15E-2</v>
          </cell>
        </row>
        <row r="74">
          <cell r="A74" t="str">
            <v>1999-070 P</v>
          </cell>
          <cell r="B74">
            <v>37288</v>
          </cell>
          <cell r="C74">
            <v>1.9111</v>
          </cell>
          <cell r="D74">
            <v>1.0611999999999999</v>
          </cell>
          <cell r="E74">
            <v>3.15E-2</v>
          </cell>
        </row>
        <row r="75">
          <cell r="A75" t="str">
            <v>2002-00251</v>
          </cell>
          <cell r="B75">
            <v>37377</v>
          </cell>
          <cell r="C75">
            <v>1.9111</v>
          </cell>
          <cell r="D75">
            <v>1.0611999999999999</v>
          </cell>
          <cell r="E75">
            <v>3.15E-2</v>
          </cell>
        </row>
        <row r="76">
          <cell r="A76" t="str">
            <v>2002-00359</v>
          </cell>
          <cell r="B76">
            <v>37469</v>
          </cell>
          <cell r="C76">
            <v>1.9111</v>
          </cell>
          <cell r="D76">
            <v>1.0518000000000001</v>
          </cell>
          <cell r="E76">
            <v>3.15E-2</v>
          </cell>
        </row>
        <row r="77">
          <cell r="A77" t="str">
            <v>200 -</v>
          </cell>
          <cell r="B77">
            <v>37561</v>
          </cell>
          <cell r="C77">
            <v>1.9111</v>
          </cell>
          <cell r="D77">
            <v>0</v>
          </cell>
          <cell r="E77">
            <v>3.15E-2</v>
          </cell>
        </row>
        <row r="78">
          <cell r="A78" t="str">
            <v>2003-000</v>
          </cell>
          <cell r="B78">
            <v>37622</v>
          </cell>
          <cell r="C78">
            <v>1.9111</v>
          </cell>
          <cell r="D78">
            <v>0.80489999999999995</v>
          </cell>
          <cell r="E78">
            <v>3.15E-2</v>
          </cell>
        </row>
        <row r="79">
          <cell r="A79" t="str">
            <v>2003-00002</v>
          </cell>
          <cell r="B79">
            <v>37653</v>
          </cell>
          <cell r="C79">
            <v>1.9111</v>
          </cell>
          <cell r="D79">
            <v>0.92749999999999999</v>
          </cell>
          <cell r="E79">
            <v>3.15E-2</v>
          </cell>
        </row>
        <row r="80">
          <cell r="A80" t="str">
            <v>2003-00083</v>
          </cell>
          <cell r="B80">
            <v>37712</v>
          </cell>
          <cell r="C80">
            <v>1.9111</v>
          </cell>
          <cell r="D80">
            <v>0.92749999999999999</v>
          </cell>
          <cell r="E80">
            <v>3.15E-2</v>
          </cell>
        </row>
        <row r="81">
          <cell r="A81" t="str">
            <v>2003-00126</v>
          </cell>
          <cell r="B81">
            <v>37742</v>
          </cell>
          <cell r="C81">
            <v>1.9111</v>
          </cell>
          <cell r="D81">
            <v>0.92749999999999999</v>
          </cell>
          <cell r="E81">
            <v>3.15E-2</v>
          </cell>
        </row>
        <row r="82">
          <cell r="A82" t="str">
            <v>2003-00258</v>
          </cell>
          <cell r="B82">
            <v>37834</v>
          </cell>
          <cell r="C82">
            <v>1.9111</v>
          </cell>
          <cell r="D82">
            <v>0.92749999999999999</v>
          </cell>
          <cell r="E82">
            <v>3.15E-2</v>
          </cell>
        </row>
        <row r="83">
          <cell r="A83" t="str">
            <v>2003-00377</v>
          </cell>
          <cell r="B83">
            <v>37926</v>
          </cell>
          <cell r="C83">
            <v>1.9111</v>
          </cell>
          <cell r="D83">
            <v>0.91820000000000013</v>
          </cell>
          <cell r="E83">
            <v>3.15E-2</v>
          </cell>
        </row>
        <row r="84">
          <cell r="A84" t="str">
            <v>2003-00504</v>
          </cell>
          <cell r="B84">
            <v>38018</v>
          </cell>
          <cell r="C84">
            <v>1.9111</v>
          </cell>
          <cell r="D84">
            <v>0.92830000000000001</v>
          </cell>
          <cell r="E84">
            <v>3.15E-2</v>
          </cell>
        </row>
        <row r="85">
          <cell r="A85" t="str">
            <v>2004-00122</v>
          </cell>
          <cell r="B85">
            <v>38108</v>
          </cell>
          <cell r="C85">
            <v>1.9111</v>
          </cell>
          <cell r="D85">
            <v>1.0759000000000001</v>
          </cell>
          <cell r="E85">
            <v>3.15E-2</v>
          </cell>
        </row>
        <row r="86">
          <cell r="A86" t="str">
            <v>2004-00269</v>
          </cell>
          <cell r="B86">
            <v>38200</v>
          </cell>
          <cell r="C86">
            <v>1.9111</v>
          </cell>
          <cell r="D86">
            <v>0</v>
          </cell>
          <cell r="E86">
            <v>3.15E-2</v>
          </cell>
        </row>
      </sheetData>
      <sheetData sheetId="39">
        <row r="8">
          <cell r="A8" t="str">
            <v>95-010 C</v>
          </cell>
          <cell r="B8">
            <v>34943</v>
          </cell>
          <cell r="C8">
            <v>1.6788000000000001</v>
          </cell>
          <cell r="D8">
            <v>0.97670000000000001</v>
          </cell>
          <cell r="E8">
            <v>-1.9E-3</v>
          </cell>
        </row>
        <row r="9">
          <cell r="A9" t="str">
            <v>95-010 D</v>
          </cell>
          <cell r="B9">
            <v>34973</v>
          </cell>
          <cell r="C9">
            <v>1.7593000000000001</v>
          </cell>
          <cell r="D9">
            <v>0.96160000000000001</v>
          </cell>
          <cell r="E9">
            <v>3.5000000000000001E-3</v>
          </cell>
        </row>
        <row r="10">
          <cell r="A10" t="str">
            <v>95-010 E</v>
          </cell>
          <cell r="B10">
            <v>35004</v>
          </cell>
          <cell r="C10">
            <v>1.8481000000000001</v>
          </cell>
          <cell r="D10">
            <v>0.96550000000000002</v>
          </cell>
          <cell r="E10">
            <v>3.2500000000000001E-2</v>
          </cell>
          <cell r="F10">
            <v>5.6445999999999996</v>
          </cell>
        </row>
        <row r="11">
          <cell r="A11" t="str">
            <v>95-010 F</v>
          </cell>
          <cell r="B11">
            <v>35034</v>
          </cell>
          <cell r="C11">
            <v>2.5830000000000002</v>
          </cell>
          <cell r="D11">
            <v>0.96189999999999998</v>
          </cell>
          <cell r="E11">
            <v>0.19769999999999999</v>
          </cell>
          <cell r="F11">
            <v>5.6445999999999996</v>
          </cell>
        </row>
        <row r="12">
          <cell r="A12" t="str">
            <v>95-010 G</v>
          </cell>
          <cell r="B12">
            <v>35065</v>
          </cell>
          <cell r="C12">
            <v>3.6097000000000001</v>
          </cell>
          <cell r="D12">
            <v>0.22470000000000001</v>
          </cell>
          <cell r="E12">
            <v>1.29E-2</v>
          </cell>
          <cell r="F12">
            <v>5.5761000000000003</v>
          </cell>
        </row>
        <row r="13">
          <cell r="A13" t="str">
            <v>95-010 H</v>
          </cell>
          <cell r="B13">
            <v>35096</v>
          </cell>
          <cell r="C13">
            <v>3.1621000000000001</v>
          </cell>
          <cell r="D13">
            <v>0.31209999999999999</v>
          </cell>
          <cell r="E13">
            <v>3.8999999999999998E-3</v>
          </cell>
          <cell r="F13">
            <v>5.6570999999999998</v>
          </cell>
        </row>
        <row r="14">
          <cell r="A14" t="str">
            <v>95-010 I</v>
          </cell>
          <cell r="B14">
            <v>35125</v>
          </cell>
          <cell r="C14">
            <v>3.0878000000000001</v>
          </cell>
          <cell r="D14">
            <v>0.28889999999999999</v>
          </cell>
          <cell r="E14">
            <v>7.6999999999998181E-3</v>
          </cell>
          <cell r="F14">
            <v>5.6666999999999996</v>
          </cell>
        </row>
        <row r="15">
          <cell r="A15" t="str">
            <v>95-010 J</v>
          </cell>
          <cell r="B15">
            <v>35156</v>
          </cell>
          <cell r="C15">
            <v>2.9451999999999998</v>
          </cell>
          <cell r="D15">
            <v>0.30910000000000004</v>
          </cell>
          <cell r="E15">
            <v>5.0399999999999778E-2</v>
          </cell>
          <cell r="F15">
            <v>5.5183</v>
          </cell>
        </row>
        <row r="16">
          <cell r="A16" t="str">
            <v>95-010 K</v>
          </cell>
          <cell r="B16">
            <v>35186</v>
          </cell>
          <cell r="C16">
            <v>2.3868999999999998</v>
          </cell>
          <cell r="D16">
            <v>0.2787</v>
          </cell>
          <cell r="E16">
            <v>2.12E-2</v>
          </cell>
          <cell r="F16">
            <v>4.9048999999999996</v>
          </cell>
        </row>
        <row r="17">
          <cell r="A17" t="str">
            <v>95-010 L</v>
          </cell>
          <cell r="B17">
            <v>35217</v>
          </cell>
          <cell r="C17">
            <v>2.5070000000000001</v>
          </cell>
          <cell r="D17">
            <v>0.17410000000000003</v>
          </cell>
          <cell r="E17">
            <v>-3.0199999999999783E-2</v>
          </cell>
          <cell r="F17">
            <v>4.5968999999999998</v>
          </cell>
        </row>
        <row r="18">
          <cell r="A18" t="str">
            <v>95-010 M</v>
          </cell>
          <cell r="B18">
            <v>35247</v>
          </cell>
          <cell r="C18">
            <v>2.8332000000000002</v>
          </cell>
          <cell r="D18">
            <v>0.1719</v>
          </cell>
          <cell r="E18">
            <v>-1.8000000000002458E-3</v>
          </cell>
          <cell r="F18">
            <v>4.5693999999999999</v>
          </cell>
        </row>
        <row r="19">
          <cell r="A19" t="str">
            <v>95-010 N</v>
          </cell>
          <cell r="B19">
            <v>35278</v>
          </cell>
          <cell r="C19">
            <v>2.4481999999999999</v>
          </cell>
          <cell r="D19">
            <v>0.17130000000000001</v>
          </cell>
          <cell r="E19">
            <v>0</v>
          </cell>
          <cell r="F19">
            <v>4.5575000000000001</v>
          </cell>
        </row>
        <row r="20">
          <cell r="A20" t="str">
            <v>95-010 O</v>
          </cell>
          <cell r="B20">
            <v>35309</v>
          </cell>
          <cell r="C20">
            <v>2.3172999999999999</v>
          </cell>
          <cell r="D20">
            <v>0.21300000000000002</v>
          </cell>
          <cell r="E20">
            <v>3.4000000000000252E-2</v>
          </cell>
          <cell r="F20">
            <v>4.7096</v>
          </cell>
        </row>
        <row r="21">
          <cell r="A21" t="str">
            <v>95-010 P</v>
          </cell>
          <cell r="B21">
            <v>35339</v>
          </cell>
          <cell r="C21">
            <v>2.0539000000000001</v>
          </cell>
          <cell r="D21">
            <v>0.21549999999999997</v>
          </cell>
          <cell r="E21">
            <v>-0.23839999999999995</v>
          </cell>
          <cell r="F21">
            <v>4.7243000000000004</v>
          </cell>
        </row>
        <row r="22">
          <cell r="A22" t="str">
            <v>95-010 Q</v>
          </cell>
          <cell r="B22">
            <v>35370</v>
          </cell>
          <cell r="C22">
            <v>3.1606000000000001</v>
          </cell>
          <cell r="D22">
            <v>0.2054</v>
          </cell>
          <cell r="E22">
            <v>3.7000000000000002E-3</v>
          </cell>
          <cell r="F22">
            <v>4.5213999999999999</v>
          </cell>
        </row>
        <row r="23">
          <cell r="A23" t="str">
            <v>95-010 R</v>
          </cell>
          <cell r="B23">
            <v>35400</v>
          </cell>
          <cell r="C23">
            <v>4.3159000000000001</v>
          </cell>
          <cell r="D23">
            <v>0.1988</v>
          </cell>
          <cell r="E23">
            <v>-1.6000000000000014E-2</v>
          </cell>
          <cell r="F23">
            <v>4.375</v>
          </cell>
        </row>
        <row r="24">
          <cell r="A24" t="str">
            <v>95-010 S</v>
          </cell>
          <cell r="B24">
            <v>35431</v>
          </cell>
          <cell r="C24">
            <v>4.2289000000000003</v>
          </cell>
          <cell r="D24">
            <v>0.2109</v>
          </cell>
          <cell r="E24">
            <v>1.000000000000334E-3</v>
          </cell>
          <cell r="F24">
            <v>4.375</v>
          </cell>
        </row>
        <row r="25">
          <cell r="A25" t="str">
            <v>95-010 T</v>
          </cell>
          <cell r="B25">
            <v>35462</v>
          </cell>
          <cell r="C25">
            <v>3.1</v>
          </cell>
          <cell r="D25">
            <v>0.21079999999999999</v>
          </cell>
          <cell r="E25">
            <v>9.9000000000000199E-3</v>
          </cell>
          <cell r="F25">
            <v>4.375</v>
          </cell>
        </row>
        <row r="26">
          <cell r="A26" t="str">
            <v>95-010 U</v>
          </cell>
          <cell r="B26">
            <v>35490</v>
          </cell>
          <cell r="C26">
            <v>1.9297</v>
          </cell>
          <cell r="D26">
            <v>0.2109</v>
          </cell>
          <cell r="E26">
            <v>-5.3900000000000059E-2</v>
          </cell>
          <cell r="F26">
            <v>4.3760000000000003</v>
          </cell>
        </row>
        <row r="27">
          <cell r="A27" t="str">
            <v>95-010 V</v>
          </cell>
          <cell r="B27">
            <v>35521</v>
          </cell>
          <cell r="C27">
            <v>2.1265000000000001</v>
          </cell>
          <cell r="D27">
            <v>0.20670000000000002</v>
          </cell>
          <cell r="E27">
            <v>-1.4100000000000001E-2</v>
          </cell>
          <cell r="F27">
            <v>4.2912999999999997</v>
          </cell>
        </row>
        <row r="28">
          <cell r="A28" t="str">
            <v>95-010 W</v>
          </cell>
          <cell r="B28">
            <v>35551</v>
          </cell>
          <cell r="C28">
            <v>2.3639999999999999</v>
          </cell>
          <cell r="D28">
            <v>0.20669999999999999</v>
          </cell>
          <cell r="E28">
            <v>-0.12110000000000021</v>
          </cell>
          <cell r="F28">
            <v>4.2912999999999997</v>
          </cell>
        </row>
        <row r="29">
          <cell r="A29" t="str">
            <v>95-010 X</v>
          </cell>
          <cell r="B29">
            <v>35582</v>
          </cell>
          <cell r="C29">
            <v>2.4377</v>
          </cell>
          <cell r="D29">
            <v>0.27609999999999996</v>
          </cell>
          <cell r="E29">
            <v>0</v>
          </cell>
          <cell r="F29">
            <v>4.5613000000000001</v>
          </cell>
        </row>
        <row r="30">
          <cell r="A30" t="str">
            <v>95-010 Y</v>
          </cell>
          <cell r="B30">
            <v>35612</v>
          </cell>
          <cell r="C30">
            <v>2.5013000000000001</v>
          </cell>
          <cell r="D30">
            <v>0.22959999999999997</v>
          </cell>
          <cell r="E30">
            <v>8.1000000000002181E-3</v>
          </cell>
          <cell r="F30">
            <v>4.5613000000000001</v>
          </cell>
        </row>
        <row r="31">
          <cell r="A31" t="str">
            <v>95-010 Z</v>
          </cell>
          <cell r="B31">
            <v>35643</v>
          </cell>
          <cell r="C31">
            <v>2.3273999999999999</v>
          </cell>
          <cell r="D31">
            <v>0.26629999999999998</v>
          </cell>
          <cell r="E31">
            <v>-9.800000000000253E-3</v>
          </cell>
          <cell r="F31">
            <v>5.3216000000000001</v>
          </cell>
        </row>
        <row r="32">
          <cell r="A32" t="str">
            <v>95-010 AA</v>
          </cell>
          <cell r="B32">
            <v>35674</v>
          </cell>
          <cell r="C32">
            <v>2.4371999999999998</v>
          </cell>
          <cell r="D32">
            <v>0.22570000000000001</v>
          </cell>
          <cell r="E32">
            <v>2.2499999999999999E-2</v>
          </cell>
          <cell r="F32">
            <v>4.5003000000000002</v>
          </cell>
        </row>
        <row r="33">
          <cell r="A33" t="str">
            <v>95-010 BB</v>
          </cell>
          <cell r="B33">
            <v>35704</v>
          </cell>
          <cell r="C33">
            <v>3.1143000000000001</v>
          </cell>
          <cell r="D33">
            <v>0.2329</v>
          </cell>
          <cell r="E33">
            <v>5.4000000000002935E-3</v>
          </cell>
          <cell r="F33">
            <v>4.7756999999999996</v>
          </cell>
        </row>
        <row r="34">
          <cell r="A34" t="str">
            <v>95-010 CC</v>
          </cell>
          <cell r="B34">
            <v>35735</v>
          </cell>
          <cell r="C34">
            <v>3.4891999999999999</v>
          </cell>
          <cell r="D34">
            <v>0.2329</v>
          </cell>
          <cell r="E34">
            <v>-0.10470000000000024</v>
          </cell>
          <cell r="F34">
            <v>4.7756999999999996</v>
          </cell>
        </row>
        <row r="35">
          <cell r="A35" t="str">
            <v>95-010 DD</v>
          </cell>
          <cell r="B35">
            <v>35765</v>
          </cell>
          <cell r="C35">
            <v>2.6930999999999998</v>
          </cell>
          <cell r="D35">
            <v>0.27350000000000002</v>
          </cell>
          <cell r="E35">
            <v>0.115</v>
          </cell>
          <cell r="F35">
            <v>5.6473000000000004</v>
          </cell>
        </row>
        <row r="36">
          <cell r="A36" t="str">
            <v>95-010 EE</v>
          </cell>
          <cell r="B36">
            <v>35796</v>
          </cell>
          <cell r="C36">
            <v>2.4893999999999998</v>
          </cell>
          <cell r="D36">
            <v>0.27350000000000002</v>
          </cell>
          <cell r="E36">
            <v>-4.469999999999974E-2</v>
          </cell>
          <cell r="F36">
            <v>5.6473000000000004</v>
          </cell>
        </row>
        <row r="37">
          <cell r="A37" t="str">
            <v>95-010 FF</v>
          </cell>
          <cell r="B37">
            <v>35827</v>
          </cell>
          <cell r="C37">
            <v>2.3378000000000001</v>
          </cell>
          <cell r="D37">
            <v>0.27350000000000002</v>
          </cell>
          <cell r="E37">
            <v>-6.7799999999999638E-2</v>
          </cell>
          <cell r="F37">
            <v>5.6473000000000004</v>
          </cell>
        </row>
        <row r="38">
          <cell r="A38" t="str">
            <v>95-010 GG</v>
          </cell>
          <cell r="B38">
            <v>35855</v>
          </cell>
          <cell r="C38">
            <v>2.3269000000000002</v>
          </cell>
          <cell r="D38">
            <v>0.21329999999999999</v>
          </cell>
          <cell r="E38">
            <v>-0.15920000000000023</v>
          </cell>
          <cell r="F38">
            <v>4.9629000000000003</v>
          </cell>
        </row>
        <row r="39">
          <cell r="A39" t="str">
            <v>95-010 HH</v>
          </cell>
          <cell r="B39">
            <v>35886</v>
          </cell>
          <cell r="C39">
            <v>2.4558</v>
          </cell>
          <cell r="D39">
            <v>0.1867</v>
          </cell>
          <cell r="E39">
            <v>0.10379999999999967</v>
          </cell>
          <cell r="F39">
            <v>4.6555999999999997</v>
          </cell>
        </row>
        <row r="40">
          <cell r="A40" t="str">
            <v>95-010 II</v>
          </cell>
          <cell r="B40">
            <v>35916</v>
          </cell>
          <cell r="C40">
            <v>2.2869000000000002</v>
          </cell>
          <cell r="D40">
            <v>0.1867</v>
          </cell>
          <cell r="E40">
            <v>5.259999999999998E-2</v>
          </cell>
          <cell r="F40">
            <v>4.6555999999999997</v>
          </cell>
        </row>
        <row r="41">
          <cell r="A41" t="str">
            <v>95-010 JJ</v>
          </cell>
          <cell r="B41">
            <v>35947</v>
          </cell>
          <cell r="C41">
            <v>2.3929999999999998</v>
          </cell>
          <cell r="D41">
            <v>0.23550000000000001</v>
          </cell>
          <cell r="E41">
            <v>-1.3700000000000045E-2</v>
          </cell>
          <cell r="F41">
            <v>4.6555999999999997</v>
          </cell>
        </row>
        <row r="42">
          <cell r="A42" t="str">
            <v>95-010 KK</v>
          </cell>
          <cell r="B42">
            <v>35977</v>
          </cell>
          <cell r="C42">
            <v>2.4350999999999998</v>
          </cell>
          <cell r="D42">
            <v>0.23250000000000001</v>
          </cell>
          <cell r="E42">
            <v>1.4300000000000423E-2</v>
          </cell>
          <cell r="F42">
            <v>4.6555999999999997</v>
          </cell>
        </row>
        <row r="43">
          <cell r="A43" t="str">
            <v>95-010 LL</v>
          </cell>
          <cell r="B43">
            <v>36008</v>
          </cell>
          <cell r="C43">
            <v>1.9495</v>
          </cell>
          <cell r="D43">
            <v>0.23250000000000001</v>
          </cell>
          <cell r="E43">
            <v>-3.0899999999999928E-2</v>
          </cell>
          <cell r="F43">
            <v>4.6555999999999997</v>
          </cell>
        </row>
        <row r="44">
          <cell r="A44" t="str">
            <v>95-010 MM</v>
          </cell>
          <cell r="B44">
            <v>36039</v>
          </cell>
          <cell r="C44">
            <v>1.9322999999999999</v>
          </cell>
          <cell r="D44">
            <v>0.23250000000000001</v>
          </cell>
          <cell r="E44">
            <v>0.70840000000000014</v>
          </cell>
          <cell r="F44">
            <v>4.6555999999999997</v>
          </cell>
        </row>
        <row r="45">
          <cell r="A45" t="str">
            <v>95-010 NN</v>
          </cell>
          <cell r="B45">
            <v>36069</v>
          </cell>
          <cell r="C45">
            <v>1.8403</v>
          </cell>
          <cell r="D45">
            <v>0.23250000000000001</v>
          </cell>
          <cell r="E45">
            <v>-9.199999999999986E-2</v>
          </cell>
          <cell r="F45">
            <v>4.6555999999999997</v>
          </cell>
        </row>
        <row r="46">
          <cell r="A46" t="str">
            <v>95-010 OO</v>
          </cell>
          <cell r="B46">
            <v>36100</v>
          </cell>
          <cell r="C46">
            <v>2.0097</v>
          </cell>
          <cell r="D46">
            <v>0.215</v>
          </cell>
          <cell r="E46">
            <v>0.1694</v>
          </cell>
          <cell r="F46">
            <v>4.2808999999999999</v>
          </cell>
        </row>
        <row r="47">
          <cell r="A47" t="str">
            <v>95-010 PP</v>
          </cell>
          <cell r="B47">
            <v>36130</v>
          </cell>
          <cell r="C47">
            <v>2.1608000000000001</v>
          </cell>
          <cell r="D47">
            <v>0.215</v>
          </cell>
          <cell r="E47">
            <v>0.15110000000000001</v>
          </cell>
          <cell r="F47">
            <v>4.2808999999999999</v>
          </cell>
        </row>
        <row r="48">
          <cell r="A48" t="str">
            <v>95-010 QQ</v>
          </cell>
          <cell r="B48">
            <v>36161</v>
          </cell>
          <cell r="C48">
            <v>1.9796</v>
          </cell>
          <cell r="D48">
            <v>0.215</v>
          </cell>
          <cell r="E48">
            <v>-0.18730000000000002</v>
          </cell>
          <cell r="F48">
            <v>4.2808999999999999</v>
          </cell>
        </row>
        <row r="49">
          <cell r="A49" t="str">
            <v>95-010 RR</v>
          </cell>
          <cell r="B49">
            <v>36192</v>
          </cell>
          <cell r="C49">
            <v>1.8795999999999999</v>
          </cell>
          <cell r="D49">
            <v>0.215</v>
          </cell>
          <cell r="E49">
            <v>-0.1</v>
          </cell>
          <cell r="F49">
            <v>4.2808999999999999</v>
          </cell>
        </row>
        <row r="50">
          <cell r="A50" t="str">
            <v>95-010 SS</v>
          </cell>
          <cell r="B50">
            <v>36220</v>
          </cell>
          <cell r="C50">
            <v>1.9111</v>
          </cell>
          <cell r="D50">
            <v>0.215</v>
          </cell>
          <cell r="E50">
            <v>3.15E-2</v>
          </cell>
          <cell r="F50">
            <v>4.2808999999999999</v>
          </cell>
        </row>
        <row r="51">
          <cell r="A51" t="str">
            <v>95-010 TT</v>
          </cell>
          <cell r="B51">
            <v>36251</v>
          </cell>
          <cell r="C51">
            <v>1.7602</v>
          </cell>
          <cell r="D51">
            <v>0.215</v>
          </cell>
          <cell r="E51">
            <v>-0.1608</v>
          </cell>
          <cell r="F51">
            <v>4.2808999999999999</v>
          </cell>
        </row>
        <row r="52">
          <cell r="A52" t="str">
            <v>95-010 UU</v>
          </cell>
          <cell r="B52">
            <v>36281</v>
          </cell>
          <cell r="C52">
            <v>2.0323000000000002</v>
          </cell>
          <cell r="D52">
            <v>0.17380000000000001</v>
          </cell>
          <cell r="E52">
            <v>0.27210000000000001</v>
          </cell>
          <cell r="F52">
            <v>4.2808999999999999</v>
          </cell>
        </row>
        <row r="53">
          <cell r="A53" t="str">
            <v>95-010 VV</v>
          </cell>
          <cell r="B53">
            <v>36312</v>
          </cell>
          <cell r="C53">
            <v>2.3763000000000001</v>
          </cell>
          <cell r="D53">
            <v>0.17380000000000001</v>
          </cell>
          <cell r="E53">
            <v>0.34399999999999997</v>
          </cell>
          <cell r="F53">
            <v>4.2808999999999999</v>
          </cell>
        </row>
        <row r="54">
          <cell r="A54" t="str">
            <v>95-010 WW</v>
          </cell>
          <cell r="B54">
            <v>36342</v>
          </cell>
          <cell r="C54">
            <v>2.3330000000000002</v>
          </cell>
          <cell r="D54">
            <v>0.17680000000000001</v>
          </cell>
          <cell r="E54">
            <v>-4.5100000000000001E-2</v>
          </cell>
          <cell r="F54">
            <v>4.2808999999999999</v>
          </cell>
        </row>
        <row r="55">
          <cell r="A55" t="str">
            <v>95-010 XX</v>
          </cell>
          <cell r="B55">
            <v>36373</v>
          </cell>
          <cell r="C55">
            <v>2.2801</v>
          </cell>
          <cell r="D55">
            <v>0.17680000000000001</v>
          </cell>
          <cell r="E55">
            <v>-5.2900000000000003E-2</v>
          </cell>
          <cell r="F55">
            <v>4.2808999999999999</v>
          </cell>
        </row>
        <row r="56">
          <cell r="A56" t="str">
            <v>95-010 YY</v>
          </cell>
          <cell r="B56">
            <v>36404</v>
          </cell>
          <cell r="C56">
            <v>2.2353000000000001</v>
          </cell>
          <cell r="D56">
            <v>0.17680000000000001</v>
          </cell>
          <cell r="E56">
            <v>0.51049999999999995</v>
          </cell>
          <cell r="F56">
            <v>4.2808999999999999</v>
          </cell>
        </row>
        <row r="57">
          <cell r="A57" t="str">
            <v>99-070</v>
          </cell>
          <cell r="B57">
            <v>36434</v>
          </cell>
          <cell r="C57">
            <v>2.9076</v>
          </cell>
          <cell r="D57">
            <v>0.17680000000000001</v>
          </cell>
          <cell r="E57">
            <v>0.67230000000000001</v>
          </cell>
          <cell r="F57">
            <v>4.2808999999999999</v>
          </cell>
        </row>
        <row r="58">
          <cell r="A58" t="str">
            <v>99-070 A</v>
          </cell>
          <cell r="B58">
            <v>36465</v>
          </cell>
          <cell r="C58">
            <v>2.6151</v>
          </cell>
          <cell r="D58">
            <v>0.16310000000000002</v>
          </cell>
          <cell r="E58">
            <v>-9.98E-2</v>
          </cell>
          <cell r="F58">
            <v>4.3211000000000004</v>
          </cell>
        </row>
        <row r="59">
          <cell r="A59" t="str">
            <v>1999-070 B</v>
          </cell>
          <cell r="B59">
            <v>36526</v>
          </cell>
          <cell r="C59">
            <v>2.6151</v>
          </cell>
          <cell r="D59">
            <v>0.16189999999999999</v>
          </cell>
          <cell r="E59">
            <v>-9.98E-2</v>
          </cell>
          <cell r="F59">
            <v>4.2945000000000002</v>
          </cell>
        </row>
        <row r="60">
          <cell r="A60" t="str">
            <v>1999-070 C</v>
          </cell>
          <cell r="B60">
            <v>36557</v>
          </cell>
          <cell r="C60">
            <v>3.1292</v>
          </cell>
          <cell r="D60">
            <v>0.1628</v>
          </cell>
          <cell r="E60">
            <v>0.46689999999999998</v>
          </cell>
          <cell r="F60">
            <v>4.3144999999999998</v>
          </cell>
        </row>
        <row r="61">
          <cell r="A61" t="str">
            <v>1999-070 D</v>
          </cell>
          <cell r="B61">
            <v>36617</v>
          </cell>
          <cell r="C61">
            <v>2.8828</v>
          </cell>
          <cell r="D61">
            <v>0.20400000000000001</v>
          </cell>
          <cell r="E61">
            <v>9.0700000000000003E-2</v>
          </cell>
          <cell r="F61">
            <v>4.3144999999999998</v>
          </cell>
        </row>
        <row r="62">
          <cell r="A62" t="str">
            <v>1999-070 E</v>
          </cell>
          <cell r="B62">
            <v>36647</v>
          </cell>
          <cell r="C62">
            <v>3.1551999999999998</v>
          </cell>
          <cell r="D62">
            <v>0.20400000000000001</v>
          </cell>
          <cell r="E62">
            <v>0.27239999999999998</v>
          </cell>
          <cell r="F62">
            <v>4.3144999999999998</v>
          </cell>
        </row>
        <row r="63">
          <cell r="A63" t="str">
            <v>1999-070 F</v>
          </cell>
          <cell r="B63">
            <v>36708</v>
          </cell>
          <cell r="C63">
            <v>4.6307999999999998</v>
          </cell>
          <cell r="D63">
            <v>0.20400000000000001</v>
          </cell>
          <cell r="E63">
            <v>1.1285000000000001</v>
          </cell>
          <cell r="F63">
            <v>4.3144999999999998</v>
          </cell>
        </row>
        <row r="64">
          <cell r="A64" t="str">
            <v>1999-070 G</v>
          </cell>
          <cell r="B64">
            <v>36739</v>
          </cell>
          <cell r="C64">
            <v>4.4837999999999996</v>
          </cell>
          <cell r="D64">
            <v>0.20400000000000001</v>
          </cell>
          <cell r="E64">
            <v>-0.14700000000000024</v>
          </cell>
          <cell r="F64">
            <v>4.3144999999999998</v>
          </cell>
        </row>
        <row r="65">
          <cell r="A65" t="str">
            <v>1999-070 H</v>
          </cell>
          <cell r="B65">
            <v>36831</v>
          </cell>
          <cell r="C65">
            <v>5.4024000000000001</v>
          </cell>
          <cell r="D65">
            <v>0.18820000000000001</v>
          </cell>
          <cell r="E65">
            <v>0.30630000000000002</v>
          </cell>
          <cell r="F65">
            <v>4.5294999999999996</v>
          </cell>
        </row>
        <row r="66">
          <cell r="A66" t="str">
            <v>1999-070 I</v>
          </cell>
          <cell r="B66">
            <v>36861</v>
          </cell>
          <cell r="C66">
            <v>5.2557999999999998</v>
          </cell>
          <cell r="D66">
            <v>0.18820000000000001</v>
          </cell>
          <cell r="E66">
            <v>-0.14660000000000001</v>
          </cell>
          <cell r="F66">
            <v>4.5294999999999996</v>
          </cell>
        </row>
        <row r="67">
          <cell r="A67" t="str">
            <v>1999-070 J</v>
          </cell>
          <cell r="B67">
            <v>36892</v>
          </cell>
          <cell r="C67">
            <v>8.2843999999999998</v>
          </cell>
          <cell r="D67">
            <v>0.18820000000000001</v>
          </cell>
          <cell r="E67">
            <v>3.0286</v>
          </cell>
          <cell r="F67">
            <v>4.5294999999999996</v>
          </cell>
        </row>
        <row r="68">
          <cell r="A68" t="str">
            <v>1999-070 K</v>
          </cell>
          <cell r="B68">
            <v>36923</v>
          </cell>
          <cell r="C68">
            <v>9.5794999999999995</v>
          </cell>
          <cell r="D68">
            <v>0.24249999999999999</v>
          </cell>
          <cell r="E68">
            <v>1.2950999999999999</v>
          </cell>
          <cell r="F68">
            <v>5.8369999999999997</v>
          </cell>
        </row>
        <row r="69">
          <cell r="A69" t="str">
            <v>1999-070 L</v>
          </cell>
          <cell r="B69">
            <v>36951</v>
          </cell>
          <cell r="C69">
            <v>6.1877000000000004</v>
          </cell>
          <cell r="D69">
            <v>0.24249999999999999</v>
          </cell>
          <cell r="E69">
            <v>-3.3917999999999999</v>
          </cell>
          <cell r="F69">
            <v>5.8369999999999997</v>
          </cell>
        </row>
        <row r="70">
          <cell r="A70" t="str">
            <v>1999-070 M</v>
          </cell>
          <cell r="B70">
            <v>36982</v>
          </cell>
          <cell r="C70">
            <v>5.2763</v>
          </cell>
          <cell r="D70">
            <v>0.24249999999999999</v>
          </cell>
          <cell r="E70">
            <v>-0.91139999999999999</v>
          </cell>
          <cell r="F70">
            <v>5.8369999999999997</v>
          </cell>
        </row>
        <row r="71">
          <cell r="A71" t="str">
            <v>1999-070 N</v>
          </cell>
          <cell r="B71">
            <v>37012</v>
          </cell>
          <cell r="C71">
            <v>5.4908999999999999</v>
          </cell>
          <cell r="D71">
            <v>0.21010000000000001</v>
          </cell>
          <cell r="E71">
            <v>0.21460000000000001</v>
          </cell>
          <cell r="F71">
            <v>5.0563000000000002</v>
          </cell>
        </row>
        <row r="72">
          <cell r="A72" t="str">
            <v>1999-070 O</v>
          </cell>
          <cell r="B72">
            <v>37104</v>
          </cell>
          <cell r="C72">
            <v>3.2307999999999999</v>
          </cell>
          <cell r="D72">
            <v>0.21010000000000001</v>
          </cell>
          <cell r="E72">
            <v>-0.63959999999999995</v>
          </cell>
          <cell r="F72">
            <v>5.0563000000000002</v>
          </cell>
        </row>
        <row r="73">
          <cell r="A73" t="str">
            <v>1999-070 P</v>
          </cell>
          <cell r="B73">
            <v>37196</v>
          </cell>
          <cell r="C73">
            <v>1.9111</v>
          </cell>
          <cell r="D73">
            <v>0.21010000000000001</v>
          </cell>
          <cell r="E73">
            <v>3.15E-2</v>
          </cell>
          <cell r="F73">
            <v>5.0563000000000002</v>
          </cell>
        </row>
        <row r="74">
          <cell r="A74" t="str">
            <v>2002-00113</v>
          </cell>
          <cell r="B74">
            <v>37377</v>
          </cell>
          <cell r="C74">
            <v>1.9111</v>
          </cell>
          <cell r="D74">
            <v>0.21010000000000001</v>
          </cell>
          <cell r="E74">
            <v>3.15E-2</v>
          </cell>
          <cell r="F74">
            <v>5.0563000000000002</v>
          </cell>
        </row>
        <row r="75">
          <cell r="A75" t="str">
            <v>2002-00251</v>
          </cell>
          <cell r="B75">
            <v>37469</v>
          </cell>
          <cell r="C75">
            <v>1.9111</v>
          </cell>
          <cell r="D75">
            <v>0.21010000000000001</v>
          </cell>
          <cell r="E75">
            <v>3.15E-2</v>
          </cell>
          <cell r="F75">
            <v>5.0563000000000002</v>
          </cell>
        </row>
        <row r="76">
          <cell r="A76" t="str">
            <v>2002-00359</v>
          </cell>
          <cell r="B76">
            <v>37469</v>
          </cell>
          <cell r="C76">
            <v>1.9111</v>
          </cell>
          <cell r="D76">
            <v>0.20069999999999999</v>
          </cell>
          <cell r="E76">
            <v>3.15E-2</v>
          </cell>
          <cell r="F76">
            <v>4.5831999999999997</v>
          </cell>
        </row>
        <row r="77">
          <cell r="A77" t="str">
            <v>200 -</v>
          </cell>
          <cell r="B77">
            <v>37561</v>
          </cell>
          <cell r="C77">
            <v>1.9111</v>
          </cell>
          <cell r="D77">
            <v>0</v>
          </cell>
          <cell r="E77">
            <v>3.15E-2</v>
          </cell>
          <cell r="F77">
            <v>4.7106000000000003</v>
          </cell>
        </row>
        <row r="78">
          <cell r="A78" t="str">
            <v>2003-000</v>
          </cell>
          <cell r="B78">
            <v>37622</v>
          </cell>
          <cell r="C78">
            <v>1.9111</v>
          </cell>
          <cell r="D78">
            <v>3.3400000000000013E-2</v>
          </cell>
          <cell r="E78">
            <v>3.15E-2</v>
          </cell>
          <cell r="F78">
            <v>4.7106000000000003</v>
          </cell>
        </row>
        <row r="79">
          <cell r="A79" t="str">
            <v>2003-00002</v>
          </cell>
          <cell r="B79">
            <v>37653</v>
          </cell>
          <cell r="C79">
            <v>1.9111</v>
          </cell>
          <cell r="D79">
            <v>3.3400000000000013E-2</v>
          </cell>
          <cell r="E79">
            <v>3.15E-2</v>
          </cell>
          <cell r="F79">
            <v>4.7106000000000003</v>
          </cell>
        </row>
        <row r="80">
          <cell r="A80" t="str">
            <v>2003-00083</v>
          </cell>
          <cell r="B80">
            <v>37712</v>
          </cell>
          <cell r="C80">
            <v>1.9111</v>
          </cell>
          <cell r="D80">
            <v>3.3400000000000013E-2</v>
          </cell>
          <cell r="E80">
            <v>3.15E-2</v>
          </cell>
          <cell r="F80">
            <v>4.7106000000000003</v>
          </cell>
        </row>
        <row r="81">
          <cell r="A81" t="str">
            <v>2003-00126</v>
          </cell>
          <cell r="B81">
            <v>37742</v>
          </cell>
          <cell r="C81">
            <v>1.9111</v>
          </cell>
          <cell r="D81">
            <v>3.3400000000000013E-2</v>
          </cell>
          <cell r="E81">
            <v>3.15E-2</v>
          </cell>
          <cell r="F81">
            <v>4.6295999999999999</v>
          </cell>
        </row>
        <row r="82">
          <cell r="A82" t="str">
            <v>2003-00258</v>
          </cell>
          <cell r="B82">
            <v>37834</v>
          </cell>
          <cell r="C82">
            <v>1.9111</v>
          </cell>
          <cell r="D82">
            <v>3.3400000000000013E-2</v>
          </cell>
          <cell r="E82">
            <v>3.15E-2</v>
          </cell>
          <cell r="F82">
            <v>4.6295999999999999</v>
          </cell>
        </row>
        <row r="83">
          <cell r="A83" t="str">
            <v>2003-00377</v>
          </cell>
          <cell r="B83">
            <v>37926</v>
          </cell>
          <cell r="C83">
            <v>1.9111</v>
          </cell>
          <cell r="D83">
            <v>3.949999999999998E-2</v>
          </cell>
          <cell r="E83">
            <v>3.15E-2</v>
          </cell>
          <cell r="F83">
            <v>4.6387</v>
          </cell>
        </row>
        <row r="84">
          <cell r="A84" t="str">
            <v>2003-00504</v>
          </cell>
          <cell r="B84">
            <v>38018</v>
          </cell>
          <cell r="C84">
            <v>1.9111</v>
          </cell>
          <cell r="D84">
            <v>3.949999999999998E-2</v>
          </cell>
          <cell r="E84">
            <v>3.15E-2</v>
          </cell>
          <cell r="F84">
            <v>4.6387</v>
          </cell>
        </row>
        <row r="85">
          <cell r="A85" t="str">
            <v>2004-00122</v>
          </cell>
          <cell r="B85">
            <v>38108</v>
          </cell>
          <cell r="C85">
            <v>1.9111</v>
          </cell>
          <cell r="D85">
            <v>0.18709999999999999</v>
          </cell>
          <cell r="E85">
            <v>3.15E-2</v>
          </cell>
          <cell r="F85">
            <v>4.6387</v>
          </cell>
        </row>
        <row r="86">
          <cell r="A86" t="str">
            <v>2004-00269</v>
          </cell>
          <cell r="B86">
            <v>38200</v>
          </cell>
          <cell r="C86">
            <v>1.9111</v>
          </cell>
          <cell r="D86">
            <v>0.18709999999999999</v>
          </cell>
          <cell r="E86">
            <v>3.15E-2</v>
          </cell>
          <cell r="F86">
            <v>4.6387</v>
          </cell>
        </row>
      </sheetData>
      <sheetData sheetId="40">
        <row r="7">
          <cell r="A7" t="str">
            <v>Case No.</v>
          </cell>
          <cell r="B7" t="str">
            <v>Effective</v>
          </cell>
          <cell r="C7" t="str">
            <v>Commodity</v>
          </cell>
          <cell r="D7" t="str">
            <v>Demand</v>
          </cell>
          <cell r="E7" t="str">
            <v>TOP</v>
          </cell>
          <cell r="F7" t="str">
            <v>Transition</v>
          </cell>
          <cell r="G7" t="str">
            <v>BCOG</v>
          </cell>
          <cell r="H7" t="str">
            <v>CF</v>
          </cell>
          <cell r="I7" t="str">
            <v>RF</v>
          </cell>
          <cell r="J7" t="str">
            <v>PBRRF</v>
          </cell>
          <cell r="K7" t="str">
            <v>GCA</v>
          </cell>
        </row>
        <row r="8">
          <cell r="A8" t="str">
            <v>95-010</v>
          </cell>
          <cell r="B8">
            <v>34943</v>
          </cell>
          <cell r="C8">
            <v>1.6283000000000001</v>
          </cell>
          <cell r="D8">
            <v>0.28760000000000002</v>
          </cell>
          <cell r="E8">
            <v>8.2000000000000007E-3</v>
          </cell>
          <cell r="F8">
            <v>0.13819999999999999</v>
          </cell>
          <cell r="G8">
            <v>2.6513</v>
          </cell>
          <cell r="H8">
            <v>2.86E-2</v>
          </cell>
          <cell r="I8">
            <v>-0.12620000000000001</v>
          </cell>
          <cell r="K8">
            <v>-0.68659999999999999</v>
          </cell>
          <cell r="L8">
            <v>2.0623</v>
          </cell>
          <cell r="M8" t="str">
            <v>I</v>
          </cell>
          <cell r="N8" t="str">
            <v>I</v>
          </cell>
          <cell r="O8" t="str">
            <v>R</v>
          </cell>
          <cell r="P8" t="str">
            <v>N</v>
          </cell>
          <cell r="Q8" t="str">
            <v>R</v>
          </cell>
        </row>
        <row r="9">
          <cell r="A9" t="str">
            <v>95-010 A</v>
          </cell>
          <cell r="B9">
            <v>34999</v>
          </cell>
          <cell r="C9">
            <v>1.9764999999999999</v>
          </cell>
          <cell r="D9">
            <v>0.28760000000000002</v>
          </cell>
          <cell r="E9">
            <v>8.2000000000000007E-3</v>
          </cell>
          <cell r="F9">
            <v>0.1231</v>
          </cell>
          <cell r="G9">
            <v>3.1770999999999998</v>
          </cell>
          <cell r="H9">
            <v>-0.16750000000000001</v>
          </cell>
          <cell r="I9">
            <v>-0.12620000000000001</v>
          </cell>
          <cell r="K9">
            <v>-1.0753999999999999</v>
          </cell>
          <cell r="L9">
            <v>2.3954</v>
          </cell>
          <cell r="M9" t="str">
            <v>I</v>
          </cell>
          <cell r="N9" t="str">
            <v>R</v>
          </cell>
          <cell r="O9" t="str">
            <v>N</v>
          </cell>
          <cell r="P9" t="str">
            <v>N</v>
          </cell>
          <cell r="Q9" t="str">
            <v>R</v>
          </cell>
        </row>
        <row r="10">
          <cell r="A10" t="str">
            <v>95-010 B</v>
          </cell>
          <cell r="B10">
            <v>35004</v>
          </cell>
          <cell r="C10">
            <v>1.9550000000000001</v>
          </cell>
          <cell r="D10">
            <v>0.28760000000000002</v>
          </cell>
          <cell r="E10">
            <v>8.2000000000000007E-3</v>
          </cell>
          <cell r="F10">
            <v>7.7499999999999999E-2</v>
          </cell>
          <cell r="G10">
            <v>2.6513</v>
          </cell>
          <cell r="H10">
            <v>-0.16750000000000001</v>
          </cell>
          <cell r="I10">
            <v>-0.21329999999999999</v>
          </cell>
          <cell r="K10">
            <v>-0.70379999999999998</v>
          </cell>
          <cell r="L10">
            <v>2.3283</v>
          </cell>
          <cell r="M10" t="str">
            <v>R</v>
          </cell>
          <cell r="N10" t="str">
            <v>N</v>
          </cell>
          <cell r="O10" t="str">
            <v>R</v>
          </cell>
          <cell r="P10" t="str">
            <v>N</v>
          </cell>
          <cell r="Q10" t="str">
            <v>I</v>
          </cell>
        </row>
        <row r="11">
          <cell r="A11" t="str">
            <v>95-010 C</v>
          </cell>
          <cell r="B11">
            <v>35034</v>
          </cell>
          <cell r="C11">
            <v>2.0304000000000002</v>
          </cell>
          <cell r="D11">
            <v>0.28760000000000002</v>
          </cell>
          <cell r="E11">
            <v>8.2000000000000007E-3</v>
          </cell>
          <cell r="F11">
            <v>7.46E-2</v>
          </cell>
          <cell r="G11">
            <v>2.6513</v>
          </cell>
          <cell r="H11">
            <v>-0.16750000000000001</v>
          </cell>
          <cell r="I11">
            <v>-0.11310000000000001</v>
          </cell>
          <cell r="K11">
            <v>-0.53109999999999968</v>
          </cell>
          <cell r="L11">
            <v>2.4008000000000003</v>
          </cell>
          <cell r="M11" t="str">
            <v>I</v>
          </cell>
          <cell r="N11" t="str">
            <v>N</v>
          </cell>
          <cell r="O11" t="str">
            <v>I</v>
          </cell>
          <cell r="P11" t="str">
            <v>N</v>
          </cell>
          <cell r="Q11" t="str">
            <v>I</v>
          </cell>
        </row>
        <row r="12">
          <cell r="A12" t="str">
            <v>95-010 D</v>
          </cell>
          <cell r="B12">
            <v>35065</v>
          </cell>
          <cell r="C12">
            <v>2.1781000000000001</v>
          </cell>
          <cell r="D12">
            <v>0.28410000000000002</v>
          </cell>
          <cell r="E12">
            <v>8.2000000000000007E-3</v>
          </cell>
          <cell r="F12">
            <v>7.46E-2</v>
          </cell>
          <cell r="G12">
            <v>2.6513</v>
          </cell>
          <cell r="H12">
            <v>-0.16750000000000001</v>
          </cell>
          <cell r="I12">
            <v>-0.11310000000000001</v>
          </cell>
          <cell r="K12">
            <v>-0.38690000000000008</v>
          </cell>
          <cell r="L12">
            <v>2.5449999999999999</v>
          </cell>
          <cell r="M12" t="str">
            <v>I</v>
          </cell>
          <cell r="N12" t="str">
            <v>N</v>
          </cell>
          <cell r="O12" t="str">
            <v>N</v>
          </cell>
          <cell r="P12" t="str">
            <v>N</v>
          </cell>
          <cell r="Q12" t="str">
            <v>I</v>
          </cell>
        </row>
        <row r="13">
          <cell r="A13" t="str">
            <v>95-010 E</v>
          </cell>
          <cell r="B13">
            <v>35096</v>
          </cell>
          <cell r="C13">
            <v>2.5087000000000002</v>
          </cell>
          <cell r="D13">
            <v>0.28820000000000001</v>
          </cell>
          <cell r="E13">
            <v>0</v>
          </cell>
          <cell r="F13">
            <v>6.3200000000000006E-2</v>
          </cell>
          <cell r="G13">
            <v>2.6513</v>
          </cell>
          <cell r="H13">
            <v>-0.16750000000000001</v>
          </cell>
          <cell r="I13">
            <v>-7.6800000000000007E-2</v>
          </cell>
          <cell r="K13">
            <v>-3.5499999999999921E-2</v>
          </cell>
          <cell r="L13">
            <v>2.8601000000000001</v>
          </cell>
          <cell r="M13" t="str">
            <v>I</v>
          </cell>
          <cell r="N13" t="str">
            <v>N</v>
          </cell>
          <cell r="O13" t="str">
            <v>I</v>
          </cell>
          <cell r="P13" t="str">
            <v>N</v>
          </cell>
          <cell r="Q13" t="str">
            <v>I</v>
          </cell>
        </row>
        <row r="14">
          <cell r="A14" t="str">
            <v>95-010 F</v>
          </cell>
          <cell r="B14">
            <v>35125</v>
          </cell>
          <cell r="C14">
            <v>2.2099000000000002</v>
          </cell>
          <cell r="D14">
            <v>0.28870000000000001</v>
          </cell>
          <cell r="E14">
            <v>0</v>
          </cell>
          <cell r="F14">
            <v>6.3200000000000006E-2</v>
          </cell>
          <cell r="G14">
            <v>2.6513</v>
          </cell>
          <cell r="H14">
            <v>-0.16750000000000001</v>
          </cell>
          <cell r="I14">
            <v>-7.6800000000000007E-2</v>
          </cell>
          <cell r="K14">
            <v>-0.33379999999999971</v>
          </cell>
          <cell r="L14">
            <v>2.5618000000000003</v>
          </cell>
          <cell r="M14" t="str">
            <v>R</v>
          </cell>
          <cell r="N14" t="str">
            <v>N</v>
          </cell>
          <cell r="O14" t="str">
            <v>N</v>
          </cell>
          <cell r="P14" t="str">
            <v>N</v>
          </cell>
          <cell r="Q14" t="str">
            <v>R</v>
          </cell>
        </row>
        <row r="15">
          <cell r="A15" t="str">
            <v>95-010 G</v>
          </cell>
          <cell r="B15">
            <v>35156</v>
          </cell>
          <cell r="C15">
            <v>2.9235000000000002</v>
          </cell>
          <cell r="D15">
            <v>0.27360000000000001</v>
          </cell>
          <cell r="E15">
            <v>0</v>
          </cell>
          <cell r="F15">
            <v>6.6400000000000001E-2</v>
          </cell>
          <cell r="G15">
            <v>2.6513</v>
          </cell>
          <cell r="H15">
            <v>-0.121</v>
          </cell>
          <cell r="I15">
            <v>-6.6900000000000001E-2</v>
          </cell>
          <cell r="K15">
            <v>0.42430000000000007</v>
          </cell>
          <cell r="L15">
            <v>3.2635000000000001</v>
          </cell>
          <cell r="M15" t="str">
            <v>I</v>
          </cell>
          <cell r="N15" t="str">
            <v>I</v>
          </cell>
          <cell r="O15" t="str">
            <v>I</v>
          </cell>
          <cell r="P15" t="str">
            <v>N</v>
          </cell>
          <cell r="Q15" t="str">
            <v>I</v>
          </cell>
        </row>
        <row r="16">
          <cell r="A16" t="str">
            <v>95-010 H</v>
          </cell>
          <cell r="B16">
            <v>35186</v>
          </cell>
          <cell r="C16">
            <v>3.2216</v>
          </cell>
          <cell r="D16">
            <v>0.2432</v>
          </cell>
          <cell r="E16">
            <v>0</v>
          </cell>
          <cell r="F16">
            <v>6.6400000000000001E-2</v>
          </cell>
          <cell r="G16">
            <v>2.6513</v>
          </cell>
          <cell r="H16">
            <v>-0.121</v>
          </cell>
          <cell r="I16">
            <v>-6.6900000000000001E-2</v>
          </cell>
          <cell r="K16">
            <v>0.69199999999999973</v>
          </cell>
          <cell r="L16">
            <v>3.5311999999999997</v>
          </cell>
          <cell r="M16" t="str">
            <v>I</v>
          </cell>
          <cell r="N16" t="str">
            <v>N</v>
          </cell>
          <cell r="O16" t="str">
            <v>N</v>
          </cell>
          <cell r="P16" t="str">
            <v>N</v>
          </cell>
          <cell r="Q16" t="str">
            <v>I</v>
          </cell>
        </row>
        <row r="17">
          <cell r="A17" t="str">
            <v>95-010 I</v>
          </cell>
          <cell r="B17">
            <v>35217</v>
          </cell>
          <cell r="C17">
            <v>2.7440000000000002</v>
          </cell>
          <cell r="D17">
            <v>0.22789999999999999</v>
          </cell>
          <cell r="E17">
            <v>0</v>
          </cell>
          <cell r="F17">
            <v>4.2099999999999999E-2</v>
          </cell>
          <cell r="G17">
            <v>2.6513</v>
          </cell>
          <cell r="H17">
            <v>-0.121</v>
          </cell>
          <cell r="I17">
            <v>-9.8000000000000004E-2</v>
          </cell>
          <cell r="K17">
            <v>0.14370000000000024</v>
          </cell>
          <cell r="L17">
            <v>3.0140000000000002</v>
          </cell>
          <cell r="M17" t="str">
            <v>R</v>
          </cell>
          <cell r="N17" t="str">
            <v>N</v>
          </cell>
          <cell r="O17" t="str">
            <v>R</v>
          </cell>
          <cell r="P17" t="str">
            <v>N</v>
          </cell>
          <cell r="Q17" t="str">
            <v>R</v>
          </cell>
        </row>
        <row r="18">
          <cell r="A18" t="str">
            <v>95-010 J</v>
          </cell>
          <cell r="B18">
            <v>35247</v>
          </cell>
          <cell r="C18">
            <v>2.6507999999999998</v>
          </cell>
          <cell r="D18">
            <v>0.2266</v>
          </cell>
          <cell r="E18">
            <v>0</v>
          </cell>
          <cell r="F18">
            <v>4.3499999999999997E-2</v>
          </cell>
          <cell r="G18">
            <v>2.6513</v>
          </cell>
          <cell r="H18">
            <v>-0.121</v>
          </cell>
          <cell r="I18">
            <v>-4.4599999999999994E-2</v>
          </cell>
          <cell r="K18">
            <v>0.10399999999999962</v>
          </cell>
          <cell r="L18">
            <v>2.9208999999999996</v>
          </cell>
          <cell r="M18" t="str">
            <v>R</v>
          </cell>
          <cell r="N18" t="str">
            <v>N</v>
          </cell>
          <cell r="O18" t="str">
            <v>I</v>
          </cell>
          <cell r="P18" t="str">
            <v>N</v>
          </cell>
          <cell r="Q18" t="str">
            <v>R</v>
          </cell>
        </row>
        <row r="19">
          <cell r="A19" t="str">
            <v>95-010 K</v>
          </cell>
          <cell r="B19">
            <v>35278</v>
          </cell>
          <cell r="C19">
            <v>2.8601999999999999</v>
          </cell>
          <cell r="D19">
            <v>0.22600000000000001</v>
          </cell>
          <cell r="E19">
            <v>0</v>
          </cell>
          <cell r="F19">
            <v>4.3499999999999997E-2</v>
          </cell>
          <cell r="G19">
            <v>2.6513</v>
          </cell>
          <cell r="H19">
            <v>-0.121</v>
          </cell>
          <cell r="I19">
            <v>-4.4599999999999994E-2</v>
          </cell>
          <cell r="K19">
            <v>0.31280000000000002</v>
          </cell>
          <cell r="L19">
            <v>3.1296999999999997</v>
          </cell>
          <cell r="M19" t="str">
            <v>I</v>
          </cell>
          <cell r="N19" t="str">
            <v>N</v>
          </cell>
          <cell r="O19" t="str">
            <v>N</v>
          </cell>
          <cell r="P19" t="str">
            <v>N</v>
          </cell>
          <cell r="Q19" t="str">
            <v>I</v>
          </cell>
        </row>
        <row r="20">
          <cell r="A20" t="str">
            <v>95-010 L</v>
          </cell>
          <cell r="B20">
            <v>35309</v>
          </cell>
          <cell r="C20">
            <v>2.4763999999999999</v>
          </cell>
          <cell r="D20">
            <v>0.23350000000000001</v>
          </cell>
          <cell r="E20">
            <v>0</v>
          </cell>
          <cell r="F20">
            <v>4.7500000000000001E-2</v>
          </cell>
          <cell r="G20">
            <v>2.6513</v>
          </cell>
          <cell r="H20">
            <v>-0.121</v>
          </cell>
          <cell r="I20">
            <v>-3.5399999999999994E-2</v>
          </cell>
          <cell r="K20">
            <v>-5.0299999999999997E-2</v>
          </cell>
          <cell r="L20">
            <v>2.7573999999999996</v>
          </cell>
          <cell r="M20" t="str">
            <v>R</v>
          </cell>
          <cell r="N20" t="str">
            <v>N</v>
          </cell>
          <cell r="O20" t="str">
            <v>I</v>
          </cell>
          <cell r="P20" t="str">
            <v>N</v>
          </cell>
          <cell r="Q20" t="str">
            <v>R</v>
          </cell>
        </row>
        <row r="21">
          <cell r="A21" t="str">
            <v>95-010 M</v>
          </cell>
          <cell r="B21">
            <v>35339</v>
          </cell>
          <cell r="C21">
            <v>2.3786999999999998</v>
          </cell>
          <cell r="D21">
            <v>0.2336</v>
          </cell>
          <cell r="E21">
            <v>0</v>
          </cell>
          <cell r="F21">
            <v>4.99E-2</v>
          </cell>
          <cell r="G21">
            <v>2.6513</v>
          </cell>
          <cell r="H21">
            <v>-3.3999999999999998E-3</v>
          </cell>
          <cell r="I21">
            <v>-3.5400000000000001E-2</v>
          </cell>
          <cell r="K21">
            <v>-2.7900000000000001E-2</v>
          </cell>
          <cell r="L21">
            <v>2.6621999999999999</v>
          </cell>
          <cell r="M21" t="str">
            <v>R</v>
          </cell>
          <cell r="N21" t="str">
            <v>I</v>
          </cell>
          <cell r="O21" t="str">
            <v>N</v>
          </cell>
          <cell r="P21" t="str">
            <v>N</v>
          </cell>
          <cell r="Q21" t="str">
            <v>I</v>
          </cell>
        </row>
        <row r="22">
          <cell r="A22" t="str">
            <v>95-010 N</v>
          </cell>
          <cell r="B22">
            <v>35370</v>
          </cell>
          <cell r="C22">
            <v>2.4285999999999999</v>
          </cell>
          <cell r="D22">
            <v>0.22359999999999999</v>
          </cell>
          <cell r="E22">
            <v>0</v>
          </cell>
          <cell r="F22">
            <v>4.9799999999999997E-2</v>
          </cell>
          <cell r="G22">
            <v>2.6513</v>
          </cell>
          <cell r="H22">
            <v>-3.3999999999999998E-3</v>
          </cell>
          <cell r="I22">
            <v>-2.8799999999999999E-2</v>
          </cell>
          <cell r="K22">
            <v>1.8499999999999999E-2</v>
          </cell>
          <cell r="L22">
            <v>2.7019999999999995</v>
          </cell>
          <cell r="M22" t="str">
            <v>I</v>
          </cell>
          <cell r="N22" t="str">
            <v>N</v>
          </cell>
          <cell r="O22" t="str">
            <v>I</v>
          </cell>
          <cell r="P22" t="str">
            <v>N</v>
          </cell>
          <cell r="Q22" t="str">
            <v>I</v>
          </cell>
        </row>
        <row r="23">
          <cell r="A23" t="str">
            <v>95-010 O</v>
          </cell>
          <cell r="B23">
            <v>35400</v>
          </cell>
          <cell r="C23">
            <v>2.8285</v>
          </cell>
          <cell r="D23">
            <v>0.21629999999999999</v>
          </cell>
          <cell r="E23">
            <v>0</v>
          </cell>
          <cell r="F23">
            <v>4.9799999999999997E-2</v>
          </cell>
          <cell r="G23">
            <v>2.6513</v>
          </cell>
          <cell r="H23">
            <v>-3.3999999999999998E-3</v>
          </cell>
          <cell r="I23">
            <v>-2.6599999999999999E-2</v>
          </cell>
          <cell r="K23">
            <v>0.41329999999999978</v>
          </cell>
          <cell r="L23">
            <v>3.0945999999999998</v>
          </cell>
          <cell r="M23" t="str">
            <v>I</v>
          </cell>
          <cell r="N23" t="str">
            <v>N</v>
          </cell>
          <cell r="O23" t="str">
            <v>I</v>
          </cell>
          <cell r="P23" t="str">
            <v>N</v>
          </cell>
          <cell r="Q23" t="str">
            <v>I</v>
          </cell>
        </row>
        <row r="24">
          <cell r="A24" t="str">
            <v>95-010 P</v>
          </cell>
          <cell r="B24">
            <v>35431</v>
          </cell>
          <cell r="C24">
            <v>3.1322999999999999</v>
          </cell>
          <cell r="D24">
            <v>0.21629999999999999</v>
          </cell>
          <cell r="E24">
            <v>0</v>
          </cell>
          <cell r="F24">
            <v>6.1899999999999997E-2</v>
          </cell>
          <cell r="G24">
            <v>2.6513</v>
          </cell>
          <cell r="H24">
            <v>-3.3999999999999998E-3</v>
          </cell>
          <cell r="I24">
            <v>-2.6599999999999999E-2</v>
          </cell>
          <cell r="K24">
            <v>0.72919999999999985</v>
          </cell>
          <cell r="L24">
            <v>3.4104999999999999</v>
          </cell>
          <cell r="M24" t="str">
            <v>I</v>
          </cell>
          <cell r="N24" t="str">
            <v>N</v>
          </cell>
          <cell r="O24" t="str">
            <v>N</v>
          </cell>
          <cell r="P24" t="str">
            <v>N</v>
          </cell>
          <cell r="Q24" t="str">
            <v>I</v>
          </cell>
        </row>
        <row r="25">
          <cell r="A25" t="str">
            <v>95-010 Q</v>
          </cell>
          <cell r="B25">
            <v>35462</v>
          </cell>
          <cell r="C25">
            <v>3.1871999999999998</v>
          </cell>
          <cell r="D25">
            <v>0.21629999999999999</v>
          </cell>
          <cell r="E25">
            <v>0</v>
          </cell>
          <cell r="F25">
            <v>6.1800000000000001E-2</v>
          </cell>
          <cell r="G25">
            <v>2.6513</v>
          </cell>
          <cell r="H25">
            <v>-3.3999999999999998E-3</v>
          </cell>
          <cell r="I25">
            <v>-2.6599999999999999E-2</v>
          </cell>
          <cell r="K25">
            <v>0.78399999999999959</v>
          </cell>
          <cell r="L25">
            <v>3.4652999999999996</v>
          </cell>
          <cell r="M25" t="str">
            <v>I</v>
          </cell>
          <cell r="N25" t="str">
            <v>N</v>
          </cell>
          <cell r="O25" t="str">
            <v>N</v>
          </cell>
          <cell r="P25" t="str">
            <v>N</v>
          </cell>
          <cell r="Q25" t="str">
            <v>I</v>
          </cell>
        </row>
        <row r="26">
          <cell r="A26" t="str">
            <v>95-010 R</v>
          </cell>
          <cell r="B26">
            <v>35490</v>
          </cell>
          <cell r="C26">
            <v>2.7440000000000002</v>
          </cell>
          <cell r="D26">
            <v>0.21640000000000001</v>
          </cell>
          <cell r="E26">
            <v>0</v>
          </cell>
          <cell r="F26">
            <v>6.1800000000000001E-2</v>
          </cell>
          <cell r="G26">
            <v>2.6513</v>
          </cell>
          <cell r="H26">
            <v>-3.3999999999999998E-3</v>
          </cell>
          <cell r="I26">
            <v>-2.6599999999999999E-2</v>
          </cell>
          <cell r="K26">
            <v>0.3409000000000002</v>
          </cell>
          <cell r="L26">
            <v>3.0222000000000002</v>
          </cell>
          <cell r="M26" t="str">
            <v>R</v>
          </cell>
          <cell r="N26" t="str">
            <v>N</v>
          </cell>
          <cell r="O26" t="str">
            <v>N</v>
          </cell>
          <cell r="P26" t="str">
            <v>N</v>
          </cell>
          <cell r="Q26" t="str">
            <v>R</v>
          </cell>
        </row>
        <row r="27">
          <cell r="A27" t="str">
            <v>95-010 S</v>
          </cell>
          <cell r="B27">
            <v>35521</v>
          </cell>
          <cell r="C27">
            <v>2.1516000000000002</v>
          </cell>
          <cell r="D27">
            <v>0.2122</v>
          </cell>
          <cell r="E27">
            <v>0</v>
          </cell>
          <cell r="F27">
            <v>6.1800000000000001E-2</v>
          </cell>
          <cell r="G27">
            <v>2.6513</v>
          </cell>
          <cell r="H27">
            <v>9.3799999999999994E-2</v>
          </cell>
          <cell r="I27">
            <v>-2.6599999999999999E-2</v>
          </cell>
          <cell r="K27">
            <v>-0.15849999999999981</v>
          </cell>
          <cell r="L27">
            <v>2.4256000000000002</v>
          </cell>
          <cell r="M27" t="str">
            <v>R</v>
          </cell>
          <cell r="N27" t="str">
            <v>I</v>
          </cell>
          <cell r="O27" t="str">
            <v>N</v>
          </cell>
          <cell r="P27" t="str">
            <v>N</v>
          </cell>
          <cell r="Q27" t="str">
            <v>R</v>
          </cell>
        </row>
        <row r="28">
          <cell r="A28" t="str">
            <v>95-010 T</v>
          </cell>
          <cell r="B28">
            <v>35551</v>
          </cell>
          <cell r="C28">
            <v>1.9819</v>
          </cell>
          <cell r="D28">
            <v>0.2122</v>
          </cell>
          <cell r="E28">
            <v>0</v>
          </cell>
          <cell r="F28">
            <v>6.1800000000000001E-2</v>
          </cell>
          <cell r="G28">
            <v>2.6513</v>
          </cell>
          <cell r="H28">
            <v>9.3799999999999994E-2</v>
          </cell>
          <cell r="I28">
            <v>-2.6599999999999999E-2</v>
          </cell>
          <cell r="K28">
            <v>-0.32819999999999999</v>
          </cell>
          <cell r="L28">
            <v>2.2559</v>
          </cell>
          <cell r="M28" t="str">
            <v>R</v>
          </cell>
          <cell r="N28" t="str">
            <v>N</v>
          </cell>
          <cell r="O28" t="str">
            <v>N</v>
          </cell>
          <cell r="P28" t="str">
            <v>N</v>
          </cell>
          <cell r="Q28" t="str">
            <v>R</v>
          </cell>
        </row>
        <row r="29">
          <cell r="A29" t="str">
            <v>95-010 U</v>
          </cell>
          <cell r="B29">
            <v>35582</v>
          </cell>
          <cell r="C29">
            <v>2.2673999999999999</v>
          </cell>
          <cell r="D29">
            <v>0.22550000000000001</v>
          </cell>
          <cell r="E29">
            <v>0</v>
          </cell>
          <cell r="F29">
            <v>5.2900000000000003E-2</v>
          </cell>
          <cell r="G29">
            <v>2.6513</v>
          </cell>
          <cell r="H29">
            <v>9.3799999999999994E-2</v>
          </cell>
          <cell r="I29">
            <v>-1.1799999999999998E-2</v>
          </cell>
          <cell r="K29">
            <v>-2.350000000000016E-2</v>
          </cell>
          <cell r="L29">
            <v>2.5457999999999998</v>
          </cell>
          <cell r="M29" t="str">
            <v>I</v>
          </cell>
          <cell r="N29" t="str">
            <v>N</v>
          </cell>
          <cell r="O29" t="str">
            <v>I</v>
          </cell>
          <cell r="P29" t="str">
            <v>N</v>
          </cell>
          <cell r="Q29" t="str">
            <v>I</v>
          </cell>
        </row>
        <row r="30">
          <cell r="A30" t="str">
            <v>95-010 V</v>
          </cell>
          <cell r="B30">
            <v>35612</v>
          </cell>
          <cell r="C30">
            <v>2.4232</v>
          </cell>
          <cell r="D30">
            <v>0.22550000000000001</v>
          </cell>
          <cell r="E30">
            <v>0</v>
          </cell>
          <cell r="F30">
            <v>5.2900000000000003E-2</v>
          </cell>
          <cell r="G30">
            <v>2.6513</v>
          </cell>
          <cell r="H30">
            <v>9.3799999999999994E-2</v>
          </cell>
          <cell r="I30">
            <v>-0.01</v>
          </cell>
          <cell r="K30">
            <v>0.1341</v>
          </cell>
          <cell r="L30">
            <v>2.7016</v>
          </cell>
          <cell r="M30" t="str">
            <v>I</v>
          </cell>
          <cell r="N30" t="str">
            <v>N</v>
          </cell>
          <cell r="O30" t="str">
            <v>I</v>
          </cell>
          <cell r="P30" t="str">
            <v>N</v>
          </cell>
          <cell r="Q30" t="str">
            <v>I</v>
          </cell>
        </row>
        <row r="31">
          <cell r="A31" t="str">
            <v>95-010 W</v>
          </cell>
          <cell r="B31">
            <v>35643</v>
          </cell>
          <cell r="C31">
            <v>2.6347999999999998</v>
          </cell>
          <cell r="D31">
            <v>0.2631</v>
          </cell>
          <cell r="E31">
            <v>0</v>
          </cell>
          <cell r="F31">
            <v>5.1999999999999998E-2</v>
          </cell>
          <cell r="G31">
            <v>2.6513</v>
          </cell>
          <cell r="H31">
            <v>9.3799999999999994E-2</v>
          </cell>
          <cell r="I31">
            <v>-0.01</v>
          </cell>
          <cell r="K31">
            <v>0.38239999999999996</v>
          </cell>
          <cell r="L31">
            <v>2.9499</v>
          </cell>
          <cell r="M31" t="str">
            <v>I</v>
          </cell>
          <cell r="N31" t="str">
            <v>N</v>
          </cell>
          <cell r="O31" t="str">
            <v>N</v>
          </cell>
          <cell r="P31" t="str">
            <v>N</v>
          </cell>
          <cell r="Q31" t="str">
            <v>I</v>
          </cell>
        </row>
        <row r="32">
          <cell r="A32" t="str">
            <v>95-010 X</v>
          </cell>
          <cell r="B32">
            <v>35674</v>
          </cell>
          <cell r="C32">
            <v>2.6177999999999999</v>
          </cell>
          <cell r="D32">
            <v>0.2225</v>
          </cell>
          <cell r="E32">
            <v>0</v>
          </cell>
          <cell r="F32">
            <v>5.1999999999999998E-2</v>
          </cell>
          <cell r="G32">
            <v>2.6513</v>
          </cell>
          <cell r="H32">
            <v>9.3799999999999994E-2</v>
          </cell>
          <cell r="I32">
            <v>-0.01</v>
          </cell>
          <cell r="K32">
            <v>0.32480000000000009</v>
          </cell>
          <cell r="L32">
            <v>2.8923000000000001</v>
          </cell>
          <cell r="M32" t="str">
            <v>R</v>
          </cell>
          <cell r="N32" t="str">
            <v>N</v>
          </cell>
          <cell r="O32" t="str">
            <v>N</v>
          </cell>
          <cell r="P32" t="str">
            <v>N</v>
          </cell>
          <cell r="Q32" t="str">
            <v>R</v>
          </cell>
        </row>
        <row r="33">
          <cell r="A33" t="str">
            <v>95-010 Y</v>
          </cell>
          <cell r="B33">
            <v>35704</v>
          </cell>
          <cell r="C33">
            <v>2.8130000000000002</v>
          </cell>
          <cell r="D33">
            <v>0.2225</v>
          </cell>
          <cell r="E33">
            <v>0</v>
          </cell>
          <cell r="F33">
            <v>5.9200000000000003E-2</v>
          </cell>
          <cell r="G33">
            <v>2.6513</v>
          </cell>
          <cell r="H33">
            <v>0.1211</v>
          </cell>
          <cell r="I33">
            <v>-0.01</v>
          </cell>
          <cell r="K33">
            <v>0.55450000000000044</v>
          </cell>
          <cell r="L33">
            <v>3.0947000000000005</v>
          </cell>
          <cell r="M33" t="str">
            <v>I</v>
          </cell>
          <cell r="N33" t="str">
            <v>I</v>
          </cell>
          <cell r="O33" t="str">
            <v>N</v>
          </cell>
          <cell r="P33" t="str">
            <v>N</v>
          </cell>
          <cell r="Q33" t="str">
            <v>I</v>
          </cell>
        </row>
        <row r="34">
          <cell r="A34" t="str">
            <v>95-010 Z</v>
          </cell>
          <cell r="B34">
            <v>35735</v>
          </cell>
          <cell r="C34">
            <v>3.9502000000000002</v>
          </cell>
          <cell r="D34">
            <v>0.2225</v>
          </cell>
          <cell r="E34">
            <v>0</v>
          </cell>
          <cell r="F34">
            <v>5.9200000000000003E-2</v>
          </cell>
          <cell r="G34">
            <v>2.6513</v>
          </cell>
          <cell r="H34">
            <v>0.1211</v>
          </cell>
          <cell r="I34">
            <v>-1.66E-2</v>
          </cell>
          <cell r="K34">
            <v>1.6850999999999996</v>
          </cell>
          <cell r="L34">
            <v>4.2318999999999996</v>
          </cell>
          <cell r="M34" t="str">
            <v>I</v>
          </cell>
          <cell r="N34" t="str">
            <v>N</v>
          </cell>
          <cell r="O34" t="str">
            <v>R</v>
          </cell>
          <cell r="P34" t="str">
            <v>N</v>
          </cell>
          <cell r="Q34" t="str">
            <v>I</v>
          </cell>
        </row>
        <row r="35">
          <cell r="A35" t="str">
            <v>95-010 AA</v>
          </cell>
          <cell r="B35">
            <v>35765</v>
          </cell>
          <cell r="C35">
            <v>3.9398</v>
          </cell>
          <cell r="D35">
            <v>0.2631</v>
          </cell>
          <cell r="E35">
            <v>0</v>
          </cell>
          <cell r="F35">
            <v>5.9200000000000003E-2</v>
          </cell>
          <cell r="G35">
            <v>2.6513</v>
          </cell>
          <cell r="H35">
            <v>0.1211</v>
          </cell>
          <cell r="I35">
            <v>-1.66E-2</v>
          </cell>
          <cell r="K35">
            <v>1.7152999999999994</v>
          </cell>
          <cell r="L35">
            <v>4.2620999999999993</v>
          </cell>
          <cell r="M35" t="str">
            <v>I</v>
          </cell>
          <cell r="N35" t="str">
            <v>N</v>
          </cell>
          <cell r="O35" t="str">
            <v>N</v>
          </cell>
          <cell r="P35" t="str">
            <v>N</v>
          </cell>
          <cell r="Q35" t="str">
            <v>I</v>
          </cell>
        </row>
        <row r="36">
          <cell r="A36" t="str">
            <v>95-010 BB</v>
          </cell>
          <cell r="B36">
            <v>35796</v>
          </cell>
          <cell r="C36">
            <v>3.0838000000000001</v>
          </cell>
          <cell r="D36">
            <v>0.2631</v>
          </cell>
          <cell r="E36">
            <v>0</v>
          </cell>
          <cell r="F36">
            <v>5.9200000000000003E-2</v>
          </cell>
          <cell r="G36">
            <v>2.6513</v>
          </cell>
          <cell r="H36">
            <v>0.1211</v>
          </cell>
          <cell r="I36">
            <v>-1.66E-2</v>
          </cell>
          <cell r="K36">
            <v>0.8593000000000004</v>
          </cell>
          <cell r="L36">
            <v>3.4061000000000003</v>
          </cell>
          <cell r="M36" t="str">
            <v>R</v>
          </cell>
          <cell r="N36" t="str">
            <v>N</v>
          </cell>
          <cell r="O36" t="str">
            <v>N</v>
          </cell>
          <cell r="P36" t="str">
            <v>N</v>
          </cell>
          <cell r="Q36" t="str">
            <v>R</v>
          </cell>
        </row>
        <row r="37">
          <cell r="A37" t="str">
            <v>95-010 CC</v>
          </cell>
          <cell r="B37">
            <v>35827</v>
          </cell>
          <cell r="C37">
            <v>2.6434000000000002</v>
          </cell>
          <cell r="D37">
            <v>0.2631</v>
          </cell>
          <cell r="E37">
            <v>0</v>
          </cell>
          <cell r="F37">
            <v>5.9200000000000003E-2</v>
          </cell>
          <cell r="G37">
            <v>2.6513</v>
          </cell>
          <cell r="H37">
            <v>0.1211</v>
          </cell>
          <cell r="I37">
            <v>-1.8200000000000001E-2</v>
          </cell>
          <cell r="K37">
            <v>0.41730000000000045</v>
          </cell>
          <cell r="L37">
            <v>2.9657000000000004</v>
          </cell>
          <cell r="M37" t="str">
            <v>R</v>
          </cell>
          <cell r="N37" t="str">
            <v>N</v>
          </cell>
          <cell r="O37" t="str">
            <v>R</v>
          </cell>
          <cell r="P37" t="str">
            <v>N</v>
          </cell>
          <cell r="Q37" t="str">
            <v>R</v>
          </cell>
        </row>
        <row r="38">
          <cell r="A38" t="str">
            <v>95-010 DD</v>
          </cell>
          <cell r="B38">
            <v>35855</v>
          </cell>
          <cell r="C38">
            <v>2.4820000000000002</v>
          </cell>
          <cell r="D38">
            <v>0.23119999999999999</v>
          </cell>
          <cell r="E38">
            <v>0</v>
          </cell>
          <cell r="F38">
            <v>3.09E-2</v>
          </cell>
          <cell r="G38">
            <v>2.6513</v>
          </cell>
          <cell r="H38">
            <v>0.1211</v>
          </cell>
          <cell r="I38">
            <v>-1.8200000000000001E-2</v>
          </cell>
          <cell r="K38">
            <v>0.19569999999999999</v>
          </cell>
          <cell r="L38">
            <v>2.7441</v>
          </cell>
          <cell r="M38" t="str">
            <v>R</v>
          </cell>
          <cell r="N38" t="str">
            <v>N</v>
          </cell>
          <cell r="O38" t="str">
            <v>N</v>
          </cell>
          <cell r="P38" t="str">
            <v>N</v>
          </cell>
          <cell r="Q38" t="str">
            <v>R</v>
          </cell>
        </row>
        <row r="39">
          <cell r="A39" t="str">
            <v>95-010 EE</v>
          </cell>
          <cell r="B39">
            <v>35886</v>
          </cell>
          <cell r="C39">
            <v>2.5598000000000001</v>
          </cell>
          <cell r="D39">
            <v>0.21690000000000001</v>
          </cell>
          <cell r="E39">
            <v>0</v>
          </cell>
          <cell r="F39">
            <v>1.8599999999999998E-2</v>
          </cell>
          <cell r="G39">
            <v>2.6513</v>
          </cell>
          <cell r="H39">
            <v>-0.1147</v>
          </cell>
          <cell r="I39">
            <v>-1.8200000000000001E-2</v>
          </cell>
          <cell r="K39">
            <v>1.1100000000000138E-2</v>
          </cell>
          <cell r="L39">
            <v>2.7953000000000001</v>
          </cell>
          <cell r="M39" t="str">
            <v>I</v>
          </cell>
          <cell r="N39" t="str">
            <v>R</v>
          </cell>
          <cell r="O39" t="str">
            <v>N</v>
          </cell>
          <cell r="P39" t="str">
            <v>N</v>
          </cell>
          <cell r="Q39" t="str">
            <v>R</v>
          </cell>
        </row>
        <row r="40">
          <cell r="A40" t="str">
            <v>95-010 FF</v>
          </cell>
          <cell r="B40">
            <v>35916</v>
          </cell>
          <cell r="C40">
            <v>2.7326000000000001</v>
          </cell>
          <cell r="D40">
            <v>0.21690000000000001</v>
          </cell>
          <cell r="E40">
            <v>0</v>
          </cell>
          <cell r="F40">
            <v>1.8599999999999998E-2</v>
          </cell>
          <cell r="G40">
            <v>2.6513</v>
          </cell>
          <cell r="H40">
            <v>-0.1147</v>
          </cell>
          <cell r="I40">
            <v>-1.8200000000000001E-2</v>
          </cell>
          <cell r="K40">
            <v>0.1839000000000002</v>
          </cell>
          <cell r="L40">
            <v>2.9681000000000002</v>
          </cell>
          <cell r="M40" t="str">
            <v>I</v>
          </cell>
          <cell r="N40" t="str">
            <v>N</v>
          </cell>
          <cell r="O40" t="str">
            <v>N</v>
          </cell>
          <cell r="P40" t="str">
            <v>N</v>
          </cell>
          <cell r="Q40" t="str">
            <v>I</v>
          </cell>
        </row>
        <row r="41">
          <cell r="A41" t="str">
            <v>95-010 GG</v>
          </cell>
          <cell r="B41">
            <v>35947</v>
          </cell>
          <cell r="C41">
            <v>2.8946999999999998</v>
          </cell>
          <cell r="D41">
            <v>0.21690000000000001</v>
          </cell>
          <cell r="E41">
            <v>0</v>
          </cell>
          <cell r="F41">
            <v>1.8599999999999998E-2</v>
          </cell>
          <cell r="G41">
            <v>2.6513</v>
          </cell>
          <cell r="H41">
            <v>-0.1147</v>
          </cell>
          <cell r="I41">
            <v>-1.9E-3</v>
          </cell>
          <cell r="K41">
            <v>0.3622999999999999</v>
          </cell>
          <cell r="L41">
            <v>3.1301999999999999</v>
          </cell>
          <cell r="M41" t="str">
            <v>I</v>
          </cell>
          <cell r="N41" t="str">
            <v>N</v>
          </cell>
          <cell r="O41" t="str">
            <v>I</v>
          </cell>
          <cell r="P41" t="str">
            <v>N</v>
          </cell>
          <cell r="Q41" t="str">
            <v>I</v>
          </cell>
        </row>
        <row r="42">
          <cell r="A42" t="str">
            <v>95-010 HH</v>
          </cell>
          <cell r="B42">
            <v>35977</v>
          </cell>
          <cell r="C42">
            <v>2.6385999999999998</v>
          </cell>
          <cell r="D42">
            <v>0.21690000000000001</v>
          </cell>
          <cell r="E42">
            <v>0</v>
          </cell>
          <cell r="F42">
            <v>1.8599999999999998E-2</v>
          </cell>
          <cell r="G42">
            <v>2.6513</v>
          </cell>
          <cell r="H42">
            <v>-0.1147</v>
          </cell>
          <cell r="I42">
            <v>-8.8999999999999999E-3</v>
          </cell>
          <cell r="K42">
            <v>9.9199999999999885E-2</v>
          </cell>
          <cell r="L42">
            <v>2.8740999999999999</v>
          </cell>
          <cell r="M42" t="str">
            <v>R</v>
          </cell>
          <cell r="N42" t="str">
            <v>N</v>
          </cell>
          <cell r="O42" t="str">
            <v>R</v>
          </cell>
          <cell r="P42" t="str">
            <v>N</v>
          </cell>
          <cell r="Q42" t="str">
            <v>R</v>
          </cell>
        </row>
        <row r="43">
          <cell r="A43" t="str">
            <v>95-010 II</v>
          </cell>
          <cell r="B43">
            <v>36008</v>
          </cell>
          <cell r="C43">
            <v>2.7168000000000001</v>
          </cell>
          <cell r="D43">
            <v>0.21690000000000001</v>
          </cell>
          <cell r="E43">
            <v>0</v>
          </cell>
          <cell r="F43">
            <v>1.8599999999999998E-2</v>
          </cell>
          <cell r="G43">
            <v>2.6513</v>
          </cell>
          <cell r="H43">
            <v>-0.1147</v>
          </cell>
          <cell r="I43">
            <v>-8.8999999999999999E-3</v>
          </cell>
          <cell r="K43">
            <v>0.17740000000000017</v>
          </cell>
          <cell r="L43">
            <v>2.9523000000000001</v>
          </cell>
          <cell r="M43" t="str">
            <v>I</v>
          </cell>
          <cell r="N43" t="str">
            <v>N</v>
          </cell>
          <cell r="O43" t="str">
            <v>N</v>
          </cell>
          <cell r="P43" t="str">
            <v>N</v>
          </cell>
          <cell r="Q43" t="str">
            <v>I</v>
          </cell>
        </row>
        <row r="44">
          <cell r="A44" t="str">
            <v>95-010 JJ</v>
          </cell>
          <cell r="B44">
            <v>36039</v>
          </cell>
          <cell r="C44">
            <v>2.4003000000000001</v>
          </cell>
          <cell r="D44">
            <v>0.21690000000000001</v>
          </cell>
          <cell r="E44">
            <v>0</v>
          </cell>
          <cell r="F44">
            <v>1.8599999999999998E-2</v>
          </cell>
          <cell r="G44">
            <v>2.6513</v>
          </cell>
          <cell r="H44">
            <v>-0.1147</v>
          </cell>
          <cell r="I44">
            <v>-8.8999999999999999E-3</v>
          </cell>
          <cell r="K44">
            <v>-0.1391</v>
          </cell>
          <cell r="L44">
            <v>2.6358000000000001</v>
          </cell>
          <cell r="M44" t="str">
            <v>R</v>
          </cell>
          <cell r="N44" t="str">
            <v>N</v>
          </cell>
          <cell r="O44" t="str">
            <v>N</v>
          </cell>
          <cell r="P44" t="str">
            <v>N</v>
          </cell>
          <cell r="Q44" t="str">
            <v>R</v>
          </cell>
        </row>
        <row r="45">
          <cell r="A45" t="str">
            <v>95-010 KK</v>
          </cell>
          <cell r="B45">
            <v>36069</v>
          </cell>
          <cell r="C45">
            <v>2.3995000000000002</v>
          </cell>
          <cell r="D45">
            <v>0.21690000000000001</v>
          </cell>
          <cell r="E45">
            <v>0</v>
          </cell>
          <cell r="F45">
            <v>1.8599999999999998E-2</v>
          </cell>
          <cell r="G45">
            <v>2.6513</v>
          </cell>
          <cell r="H45">
            <v>-0.311</v>
          </cell>
          <cell r="I45">
            <v>-2.1899999999999999E-2</v>
          </cell>
          <cell r="K45">
            <v>-0.34919999999999973</v>
          </cell>
          <cell r="L45">
            <v>2.6350000000000002</v>
          </cell>
          <cell r="M45" t="str">
            <v>R</v>
          </cell>
          <cell r="N45" t="str">
            <v>R</v>
          </cell>
          <cell r="O45" t="str">
            <v>R</v>
          </cell>
          <cell r="P45" t="str">
            <v>N</v>
          </cell>
          <cell r="Q45" t="str">
            <v>R</v>
          </cell>
        </row>
        <row r="46">
          <cell r="A46" t="str">
            <v>95-010 LL</v>
          </cell>
          <cell r="B46">
            <v>36100</v>
          </cell>
          <cell r="C46">
            <v>2.7469000000000001</v>
          </cell>
          <cell r="D46">
            <v>0.19939999999999999</v>
          </cell>
          <cell r="E46">
            <v>0</v>
          </cell>
          <cell r="F46">
            <v>1.8599999999999998E-2</v>
          </cell>
          <cell r="G46">
            <v>2.6513</v>
          </cell>
          <cell r="H46">
            <v>-0.311</v>
          </cell>
          <cell r="I46">
            <v>-2.1899999999999999E-2</v>
          </cell>
          <cell r="K46">
            <v>-1.9299999999999873E-2</v>
          </cell>
          <cell r="L46">
            <v>2.9649000000000001</v>
          </cell>
          <cell r="M46" t="str">
            <v>I</v>
          </cell>
          <cell r="N46" t="str">
            <v>N</v>
          </cell>
          <cell r="O46" t="str">
            <v>N</v>
          </cell>
          <cell r="P46" t="str">
            <v>N</v>
          </cell>
          <cell r="Q46" t="str">
            <v>I</v>
          </cell>
        </row>
        <row r="47">
          <cell r="A47" t="str">
            <v>95-010 MM</v>
          </cell>
          <cell r="B47">
            <v>36130</v>
          </cell>
          <cell r="C47">
            <v>2.5857000000000001</v>
          </cell>
          <cell r="D47">
            <v>0.19939999999999999</v>
          </cell>
          <cell r="E47">
            <v>0</v>
          </cell>
          <cell r="F47">
            <v>1.8599999999999998E-2</v>
          </cell>
          <cell r="G47">
            <v>2.6513</v>
          </cell>
          <cell r="H47">
            <v>-0.311</v>
          </cell>
          <cell r="I47">
            <v>-2.1899999999999999E-2</v>
          </cell>
          <cell r="K47">
            <v>-0.18049999999999988</v>
          </cell>
          <cell r="L47">
            <v>2.8037000000000001</v>
          </cell>
          <cell r="M47" t="str">
            <v>R</v>
          </cell>
          <cell r="N47" t="str">
            <v>N</v>
          </cell>
          <cell r="O47" t="str">
            <v>N</v>
          </cell>
          <cell r="P47" t="str">
            <v>N</v>
          </cell>
          <cell r="Q47" t="str">
            <v>R</v>
          </cell>
        </row>
        <row r="48">
          <cell r="A48" t="str">
            <v>95-010 NN</v>
          </cell>
          <cell r="B48">
            <v>36161</v>
          </cell>
          <cell r="C48">
            <v>2.4861</v>
          </cell>
          <cell r="D48">
            <v>0.19939999999999999</v>
          </cell>
          <cell r="E48">
            <v>0</v>
          </cell>
          <cell r="F48">
            <v>1.8599999999999998E-2</v>
          </cell>
          <cell r="G48">
            <v>2.6513</v>
          </cell>
          <cell r="H48">
            <v>-0.311</v>
          </cell>
          <cell r="I48">
            <v>-2.1899999999999999E-2</v>
          </cell>
          <cell r="K48">
            <v>-0.28010000000000002</v>
          </cell>
          <cell r="L48">
            <v>2.7040999999999999</v>
          </cell>
          <cell r="M48" t="str">
            <v>R</v>
          </cell>
          <cell r="N48" t="str">
            <v>N</v>
          </cell>
          <cell r="O48" t="str">
            <v>N</v>
          </cell>
          <cell r="P48" t="str">
            <v>N</v>
          </cell>
          <cell r="Q48" t="str">
            <v>R</v>
          </cell>
        </row>
        <row r="49">
          <cell r="A49" t="str">
            <v>95-010 OO</v>
          </cell>
          <cell r="B49">
            <v>36192</v>
          </cell>
          <cell r="C49">
            <v>2.0943000000000001</v>
          </cell>
          <cell r="D49">
            <v>0.19939999999999999</v>
          </cell>
          <cell r="E49">
            <v>0</v>
          </cell>
          <cell r="F49">
            <v>1.8599999999999998E-2</v>
          </cell>
          <cell r="G49">
            <v>2.6513</v>
          </cell>
          <cell r="H49">
            <v>-0.311</v>
          </cell>
          <cell r="I49">
            <v>-2.0299999999999999E-2</v>
          </cell>
          <cell r="J49">
            <v>2.47E-2</v>
          </cell>
          <cell r="K49">
            <v>-0.64559999999999995</v>
          </cell>
          <cell r="L49">
            <v>2.3123</v>
          </cell>
          <cell r="M49" t="str">
            <v>R</v>
          </cell>
          <cell r="N49" t="str">
            <v>N</v>
          </cell>
          <cell r="O49" t="str">
            <v>I</v>
          </cell>
          <cell r="P49" t="str">
            <v>I</v>
          </cell>
          <cell r="Q49" t="str">
            <v>R</v>
          </cell>
        </row>
        <row r="50">
          <cell r="A50" t="str">
            <v>95-010 PP</v>
          </cell>
          <cell r="B50">
            <v>36220</v>
          </cell>
          <cell r="C50">
            <v>2.0348000000000002</v>
          </cell>
          <cell r="D50">
            <v>0.19939999999999999</v>
          </cell>
          <cell r="E50">
            <v>0</v>
          </cell>
          <cell r="F50">
            <v>1.8599999999999998E-2</v>
          </cell>
          <cell r="G50">
            <v>2.6513</v>
          </cell>
          <cell r="H50">
            <v>-0.311</v>
          </cell>
          <cell r="I50">
            <v>-2.0299999999999999E-2</v>
          </cell>
          <cell r="J50">
            <v>2.47E-2</v>
          </cell>
          <cell r="K50">
            <v>-0.70509999999999984</v>
          </cell>
          <cell r="L50">
            <v>2.2528000000000001</v>
          </cell>
          <cell r="M50" t="str">
            <v>R</v>
          </cell>
          <cell r="N50" t="str">
            <v>N</v>
          </cell>
          <cell r="O50" t="str">
            <v>N</v>
          </cell>
          <cell r="P50" t="str">
            <v>N</v>
          </cell>
          <cell r="Q50" t="str">
            <v>R</v>
          </cell>
        </row>
        <row r="51">
          <cell r="A51" t="str">
            <v>95-010 QQ</v>
          </cell>
          <cell r="B51">
            <v>36251</v>
          </cell>
          <cell r="C51">
            <v>1.9604999999999999</v>
          </cell>
          <cell r="D51">
            <v>0.19939999999999999</v>
          </cell>
          <cell r="E51">
            <v>0</v>
          </cell>
          <cell r="F51">
            <v>1.8599999999999998E-2</v>
          </cell>
          <cell r="G51">
            <v>2.6513</v>
          </cell>
          <cell r="H51">
            <v>-0.18820000000000001</v>
          </cell>
          <cell r="I51">
            <v>-3.3000000000000002E-2</v>
          </cell>
          <cell r="J51">
            <v>2.47E-2</v>
          </cell>
          <cell r="K51">
            <v>-0.6692999999999999</v>
          </cell>
          <cell r="L51">
            <v>2.1785000000000001</v>
          </cell>
          <cell r="M51" t="str">
            <v>R</v>
          </cell>
          <cell r="N51" t="str">
            <v>I</v>
          </cell>
          <cell r="O51" t="str">
            <v>R</v>
          </cell>
          <cell r="P51" t="str">
            <v>N</v>
          </cell>
          <cell r="Q51" t="str">
            <v>I</v>
          </cell>
        </row>
        <row r="52">
          <cell r="A52" t="str">
            <v>95-010 RR</v>
          </cell>
          <cell r="B52">
            <v>36281</v>
          </cell>
          <cell r="C52">
            <v>1.8638999999999999</v>
          </cell>
          <cell r="D52">
            <v>0.19939999999999999</v>
          </cell>
          <cell r="E52">
            <v>0</v>
          </cell>
          <cell r="F52">
            <v>1.8599999999999998E-2</v>
          </cell>
          <cell r="G52">
            <v>2.6513</v>
          </cell>
          <cell r="H52">
            <v>-0.18820000000000001</v>
          </cell>
          <cell r="I52">
            <v>-3.3000000000000002E-2</v>
          </cell>
          <cell r="J52">
            <v>2.47E-2</v>
          </cell>
          <cell r="K52">
            <v>-0.76589999999999991</v>
          </cell>
          <cell r="L52">
            <v>2.0819000000000001</v>
          </cell>
          <cell r="M52" t="str">
            <v>R</v>
          </cell>
          <cell r="N52" t="str">
            <v>N</v>
          </cell>
          <cell r="O52" t="str">
            <v>N</v>
          </cell>
          <cell r="P52" t="str">
            <v>N</v>
          </cell>
          <cell r="Q52" t="str">
            <v>R</v>
          </cell>
        </row>
        <row r="53">
          <cell r="A53" t="str">
            <v>95-010 SS</v>
          </cell>
          <cell r="B53">
            <v>36312</v>
          </cell>
          <cell r="C53">
            <v>2.2873999999999999</v>
          </cell>
          <cell r="D53">
            <v>0.19939999999999999</v>
          </cell>
          <cell r="E53">
            <v>0</v>
          </cell>
          <cell r="F53">
            <v>1.8599999999999998E-2</v>
          </cell>
          <cell r="G53">
            <v>2.6513</v>
          </cell>
          <cell r="H53">
            <v>-0.18820000000000001</v>
          </cell>
          <cell r="I53">
            <v>-3.3000000000000002E-2</v>
          </cell>
          <cell r="J53">
            <v>2.47E-2</v>
          </cell>
          <cell r="K53">
            <v>-0.34240000000000015</v>
          </cell>
          <cell r="L53">
            <v>2.5053999999999998</v>
          </cell>
          <cell r="M53" t="str">
            <v>I</v>
          </cell>
          <cell r="N53" t="str">
            <v>N</v>
          </cell>
          <cell r="O53" t="str">
            <v>N</v>
          </cell>
          <cell r="P53" t="str">
            <v>N</v>
          </cell>
          <cell r="Q53" t="str">
            <v>I</v>
          </cell>
        </row>
        <row r="54">
          <cell r="A54" t="str">
            <v>95-010 TT</v>
          </cell>
          <cell r="B54">
            <v>36342</v>
          </cell>
          <cell r="C54">
            <v>2.6103999999999998</v>
          </cell>
          <cell r="D54">
            <v>0.19939999999999999</v>
          </cell>
          <cell r="E54">
            <v>0</v>
          </cell>
          <cell r="F54">
            <v>1.8599999999999998E-2</v>
          </cell>
          <cell r="G54">
            <v>2.6513</v>
          </cell>
          <cell r="H54">
            <v>-0.18820000000000001</v>
          </cell>
          <cell r="I54">
            <v>-2.5700000000000001E-2</v>
          </cell>
          <cell r="J54">
            <v>2.47E-2</v>
          </cell>
          <cell r="K54">
            <v>-1.2100000000000194E-2</v>
          </cell>
          <cell r="L54">
            <v>2.8283999999999998</v>
          </cell>
          <cell r="M54" t="str">
            <v>I</v>
          </cell>
          <cell r="N54" t="str">
            <v>N</v>
          </cell>
          <cell r="O54" t="str">
            <v>I</v>
          </cell>
          <cell r="P54" t="str">
            <v>N</v>
          </cell>
          <cell r="Q54" t="str">
            <v>I</v>
          </cell>
        </row>
        <row r="55">
          <cell r="A55" t="str">
            <v>95-010 UU</v>
          </cell>
          <cell r="B55">
            <v>36373</v>
          </cell>
          <cell r="C55">
            <v>2.3969</v>
          </cell>
          <cell r="D55">
            <v>0.19939999999999999</v>
          </cell>
          <cell r="E55">
            <v>0</v>
          </cell>
          <cell r="F55">
            <v>1.8599999999999998E-2</v>
          </cell>
          <cell r="G55">
            <v>2.6513</v>
          </cell>
          <cell r="H55">
            <v>-0.18820000000000001</v>
          </cell>
          <cell r="I55">
            <v>-2.5700000000000001E-2</v>
          </cell>
          <cell r="J55">
            <v>2.47E-2</v>
          </cell>
          <cell r="K55">
            <v>-0.22559999999999999</v>
          </cell>
          <cell r="L55">
            <v>2.6149</v>
          </cell>
          <cell r="M55" t="str">
            <v>R</v>
          </cell>
          <cell r="N55" t="str">
            <v>N</v>
          </cell>
          <cell r="O55" t="str">
            <v>N</v>
          </cell>
          <cell r="P55" t="str">
            <v>N</v>
          </cell>
          <cell r="Q55" t="str">
            <v>R</v>
          </cell>
        </row>
        <row r="56">
          <cell r="A56" t="str">
            <v>95-010 VV</v>
          </cell>
          <cell r="B56">
            <v>36404</v>
          </cell>
          <cell r="C56">
            <v>2.3862000000000001</v>
          </cell>
          <cell r="D56">
            <v>0.19939999999999999</v>
          </cell>
          <cell r="E56">
            <v>0</v>
          </cell>
          <cell r="F56">
            <v>1.8599999999999998E-2</v>
          </cell>
          <cell r="G56">
            <v>2.6513</v>
          </cell>
          <cell r="H56">
            <v>-0.18820000000000001</v>
          </cell>
          <cell r="I56">
            <v>-2.5700000000000001E-2</v>
          </cell>
          <cell r="J56">
            <v>2.47E-2</v>
          </cell>
          <cell r="K56">
            <v>-0.23629999999999993</v>
          </cell>
          <cell r="L56">
            <v>2.6042000000000001</v>
          </cell>
          <cell r="M56" t="str">
            <v>R</v>
          </cell>
          <cell r="N56" t="str">
            <v>N</v>
          </cell>
          <cell r="O56" t="str">
            <v>N</v>
          </cell>
          <cell r="P56" t="str">
            <v>N</v>
          </cell>
          <cell r="Q56" t="str">
            <v>R</v>
          </cell>
        </row>
        <row r="57">
          <cell r="A57" t="str">
            <v>95-010 WW</v>
          </cell>
          <cell r="B57">
            <v>36434</v>
          </cell>
          <cell r="C57">
            <v>2.6629</v>
          </cell>
          <cell r="D57">
            <v>0.19939999999999999</v>
          </cell>
          <cell r="E57">
            <v>0</v>
          </cell>
          <cell r="F57">
            <v>1.8599999999999998E-2</v>
          </cell>
          <cell r="G57">
            <v>2.6513</v>
          </cell>
          <cell r="H57">
            <v>-0.22389999999999999</v>
          </cell>
          <cell r="I57">
            <v>-1.4999999999999999E-2</v>
          </cell>
          <cell r="J57">
            <v>2.47E-2</v>
          </cell>
          <cell r="K57">
            <v>1.5400000000000025E-2</v>
          </cell>
          <cell r="L57">
            <v>2.8809</v>
          </cell>
          <cell r="M57" t="str">
            <v>I</v>
          </cell>
          <cell r="N57" t="str">
            <v>R</v>
          </cell>
          <cell r="O57" t="str">
            <v>I</v>
          </cell>
          <cell r="P57" t="str">
            <v>N</v>
          </cell>
          <cell r="Q57" t="str">
            <v>I</v>
          </cell>
        </row>
        <row r="58">
          <cell r="A58" t="str">
            <v>95-010 XX</v>
          </cell>
          <cell r="B58">
            <v>36465</v>
          </cell>
          <cell r="C58">
            <v>2.9028</v>
          </cell>
          <cell r="D58">
            <v>0.20130000000000001</v>
          </cell>
          <cell r="E58">
            <v>0</v>
          </cell>
          <cell r="F58">
            <v>3.0000000000000001E-3</v>
          </cell>
          <cell r="G58">
            <v>2.6513</v>
          </cell>
          <cell r="H58">
            <v>-0.22389999999999999</v>
          </cell>
          <cell r="I58">
            <v>-1.4999999999999999E-2</v>
          </cell>
          <cell r="J58">
            <v>2.47E-2</v>
          </cell>
          <cell r="K58">
            <v>0.24159999999999998</v>
          </cell>
          <cell r="L58">
            <v>3.1071</v>
          </cell>
          <cell r="M58" t="str">
            <v>I</v>
          </cell>
          <cell r="N58" t="str">
            <v>N</v>
          </cell>
          <cell r="O58" t="str">
            <v>N</v>
          </cell>
          <cell r="P58" t="str">
            <v>N</v>
          </cell>
          <cell r="Q58" t="str">
            <v>I</v>
          </cell>
        </row>
        <row r="59">
          <cell r="A59" t="str">
            <v>95-010 YY</v>
          </cell>
          <cell r="B59">
            <v>36495</v>
          </cell>
          <cell r="C59">
            <v>2.9401000000000002</v>
          </cell>
          <cell r="D59">
            <v>0.2001</v>
          </cell>
          <cell r="E59">
            <v>0</v>
          </cell>
          <cell r="F59">
            <v>3.0000000000000001E-3</v>
          </cell>
          <cell r="G59">
            <v>2.6513</v>
          </cell>
          <cell r="H59">
            <v>-0.22389999999999999</v>
          </cell>
          <cell r="I59">
            <v>-1.4999999999999999E-2</v>
          </cell>
          <cell r="J59">
            <v>2.47E-2</v>
          </cell>
          <cell r="K59">
            <v>0.27770000000000022</v>
          </cell>
          <cell r="L59">
            <v>3.1432000000000002</v>
          </cell>
          <cell r="M59" t="str">
            <v>I</v>
          </cell>
          <cell r="N59" t="str">
            <v>N</v>
          </cell>
          <cell r="O59" t="str">
            <v>N</v>
          </cell>
          <cell r="P59" t="str">
            <v>N</v>
          </cell>
          <cell r="Q59" t="str">
            <v>I</v>
          </cell>
        </row>
        <row r="60">
          <cell r="A60" t="str">
            <v>99-070</v>
          </cell>
          <cell r="B60">
            <v>36526</v>
          </cell>
          <cell r="C60">
            <v>2.4571999999999998</v>
          </cell>
          <cell r="D60">
            <v>0.2001</v>
          </cell>
          <cell r="E60">
            <v>0</v>
          </cell>
          <cell r="F60">
            <v>3.0000000000000001E-3</v>
          </cell>
          <cell r="G60">
            <v>0</v>
          </cell>
          <cell r="H60">
            <v>-0.22389999999999999</v>
          </cell>
          <cell r="I60">
            <v>-1.78E-2</v>
          </cell>
          <cell r="J60">
            <v>2.47E-2</v>
          </cell>
          <cell r="K60">
            <v>2.4432999999999998</v>
          </cell>
          <cell r="L60">
            <v>2.6602999999999999</v>
          </cell>
          <cell r="M60" t="str">
            <v>R</v>
          </cell>
          <cell r="N60" t="str">
            <v>N</v>
          </cell>
          <cell r="O60" t="str">
            <v>R</v>
          </cell>
          <cell r="P60" t="str">
            <v>N</v>
          </cell>
          <cell r="Q60" t="str">
            <v>I</v>
          </cell>
        </row>
        <row r="61">
          <cell r="A61" t="str">
            <v>99-070 A</v>
          </cell>
          <cell r="B61">
            <v>36557</v>
          </cell>
          <cell r="C61">
            <v>2.5337000000000001</v>
          </cell>
          <cell r="D61">
            <v>0.20100000000000001</v>
          </cell>
          <cell r="E61">
            <v>0</v>
          </cell>
          <cell r="F61">
            <v>3.0000000000000001E-3</v>
          </cell>
          <cell r="G61">
            <v>0</v>
          </cell>
          <cell r="H61">
            <v>-0.22389999999999999</v>
          </cell>
          <cell r="I61">
            <v>-1.78E-2</v>
          </cell>
          <cell r="J61">
            <v>9.3399999999999997E-2</v>
          </cell>
          <cell r="K61">
            <v>2.5894000000000004</v>
          </cell>
          <cell r="L61">
            <v>2.7377000000000002</v>
          </cell>
          <cell r="M61" t="str">
            <v>I</v>
          </cell>
          <cell r="N61" t="str">
            <v>N</v>
          </cell>
          <cell r="O61" t="str">
            <v>N</v>
          </cell>
          <cell r="P61" t="str">
            <v>I</v>
          </cell>
          <cell r="Q61" t="str">
            <v>I</v>
          </cell>
        </row>
        <row r="62">
          <cell r="A62" t="str">
            <v>1999-070 B</v>
          </cell>
          <cell r="B62">
            <v>36617</v>
          </cell>
          <cell r="C62">
            <v>2.5337000000000001</v>
          </cell>
          <cell r="D62">
            <v>0.20100000000000001</v>
          </cell>
          <cell r="E62">
            <v>0</v>
          </cell>
          <cell r="F62">
            <v>3.0000000000000001E-3</v>
          </cell>
          <cell r="G62">
            <v>0</v>
          </cell>
          <cell r="H62">
            <v>0</v>
          </cell>
          <cell r="I62">
            <v>-5.1000000000000004E-3</v>
          </cell>
          <cell r="J62">
            <v>9.3399999999999997E-2</v>
          </cell>
          <cell r="K62">
            <v>2.8260000000000001</v>
          </cell>
          <cell r="L62">
            <v>2.7377000000000002</v>
          </cell>
          <cell r="M62" t="str">
            <v>N</v>
          </cell>
          <cell r="N62" t="str">
            <v>I</v>
          </cell>
          <cell r="O62" t="str">
            <v>I</v>
          </cell>
          <cell r="P62" t="str">
            <v>N</v>
          </cell>
          <cell r="Q62" t="str">
            <v>I</v>
          </cell>
        </row>
        <row r="63">
          <cell r="A63" t="str">
            <v>1999-070 C</v>
          </cell>
          <cell r="B63">
            <v>36647</v>
          </cell>
          <cell r="C63">
            <v>2.5749</v>
          </cell>
          <cell r="D63">
            <v>0.20100000000000001</v>
          </cell>
          <cell r="E63">
            <v>0</v>
          </cell>
          <cell r="F63">
            <v>3.0000000000000001E-3</v>
          </cell>
          <cell r="G63">
            <v>0</v>
          </cell>
          <cell r="H63">
            <v>0.25019999999999998</v>
          </cell>
          <cell r="I63">
            <v>-5.1000000000000004E-3</v>
          </cell>
          <cell r="J63">
            <v>9.3399999999999997E-2</v>
          </cell>
          <cell r="K63">
            <v>3.1173999999999999</v>
          </cell>
          <cell r="L63">
            <v>2.7789000000000001</v>
          </cell>
          <cell r="M63" t="str">
            <v>I</v>
          </cell>
          <cell r="N63" t="str">
            <v>I</v>
          </cell>
          <cell r="O63" t="str">
            <v>N</v>
          </cell>
          <cell r="P63" t="str">
            <v>N</v>
          </cell>
          <cell r="Q63" t="str">
            <v>I</v>
          </cell>
        </row>
        <row r="64">
          <cell r="A64" t="str">
            <v>1999-070 D</v>
          </cell>
          <cell r="B64">
            <v>36708</v>
          </cell>
          <cell r="C64">
            <v>3.1747999999999998</v>
          </cell>
          <cell r="D64">
            <v>0.20100000000000001</v>
          </cell>
          <cell r="E64">
            <v>0</v>
          </cell>
          <cell r="F64">
            <v>3.0000000000000001E-3</v>
          </cell>
          <cell r="G64">
            <v>0</v>
          </cell>
          <cell r="H64">
            <v>0.25019999999999998</v>
          </cell>
          <cell r="I64">
            <v>-5.1000000000000004E-3</v>
          </cell>
          <cell r="J64">
            <v>9.3399999999999997E-2</v>
          </cell>
          <cell r="K64">
            <v>3.7172999999999998</v>
          </cell>
          <cell r="L64">
            <v>3.3788</v>
          </cell>
          <cell r="M64" t="str">
            <v>I</v>
          </cell>
          <cell r="N64" t="str">
            <v>N</v>
          </cell>
          <cell r="O64" t="str">
            <v>N</v>
          </cell>
          <cell r="P64" t="str">
            <v>N</v>
          </cell>
          <cell r="Q64" t="str">
            <v>I</v>
          </cell>
        </row>
        <row r="65">
          <cell r="A65" t="str">
            <v>1999-070 E</v>
          </cell>
          <cell r="B65">
            <v>36739</v>
          </cell>
          <cell r="C65">
            <v>4.6079999999999997</v>
          </cell>
          <cell r="D65">
            <v>0.20100000000000001</v>
          </cell>
          <cell r="E65">
            <v>0</v>
          </cell>
          <cell r="F65">
            <v>3.0000000000000001E-3</v>
          </cell>
          <cell r="G65">
            <v>0</v>
          </cell>
          <cell r="H65">
            <v>0.25019999999999998</v>
          </cell>
          <cell r="I65">
            <v>-1.6800000000000002E-2</v>
          </cell>
          <cell r="J65">
            <v>9.3399999999999997E-2</v>
          </cell>
          <cell r="K65">
            <v>5.1387999999999998</v>
          </cell>
          <cell r="L65">
            <v>4.8119999999999994</v>
          </cell>
          <cell r="M65" t="str">
            <v>I</v>
          </cell>
          <cell r="N65" t="str">
            <v>N</v>
          </cell>
          <cell r="O65" t="str">
            <v>R</v>
          </cell>
          <cell r="P65" t="str">
            <v>N</v>
          </cell>
          <cell r="Q65" t="str">
            <v>I</v>
          </cell>
        </row>
        <row r="66">
          <cell r="A66" t="str">
            <v>1999-070 F</v>
          </cell>
          <cell r="B66">
            <v>36800</v>
          </cell>
          <cell r="C66">
            <v>5.2323000000000004</v>
          </cell>
          <cell r="D66">
            <v>0.20100000000000001</v>
          </cell>
          <cell r="E66">
            <v>0</v>
          </cell>
          <cell r="F66">
            <v>3.0000000000000001E-3</v>
          </cell>
          <cell r="G66">
            <v>0</v>
          </cell>
          <cell r="H66">
            <v>0.25019999999999998</v>
          </cell>
          <cell r="I66">
            <v>-1.4500000000000001E-2</v>
          </cell>
          <cell r="J66">
            <v>9.3399999999999997E-2</v>
          </cell>
          <cell r="K66">
            <v>5.7653999999999996</v>
          </cell>
          <cell r="L66">
            <v>5.4363000000000001</v>
          </cell>
          <cell r="M66" t="str">
            <v>I</v>
          </cell>
          <cell r="N66" t="str">
            <v>N</v>
          </cell>
          <cell r="O66" t="str">
            <v>I</v>
          </cell>
          <cell r="P66" t="str">
            <v>N</v>
          </cell>
          <cell r="Q66" t="str">
            <v>I</v>
          </cell>
        </row>
        <row r="67">
          <cell r="A67" t="str">
            <v>1999-070 G</v>
          </cell>
          <cell r="B67">
            <v>36831</v>
          </cell>
          <cell r="C67">
            <v>5.5765000000000002</v>
          </cell>
          <cell r="D67">
            <v>0.18820000000000001</v>
          </cell>
          <cell r="E67">
            <v>0</v>
          </cell>
          <cell r="F67">
            <v>0</v>
          </cell>
          <cell r="G67">
            <v>0</v>
          </cell>
          <cell r="H67">
            <v>1.1344000000000001</v>
          </cell>
          <cell r="I67">
            <v>-1.4500000000000001E-2</v>
          </cell>
          <cell r="J67">
            <v>9.3399999999999997E-2</v>
          </cell>
          <cell r="K67">
            <v>6.9780000000000006</v>
          </cell>
          <cell r="L67">
            <v>5.7647000000000004</v>
          </cell>
          <cell r="M67" t="str">
            <v>I</v>
          </cell>
          <cell r="N67" t="str">
            <v>I</v>
          </cell>
          <cell r="O67" t="str">
            <v>N</v>
          </cell>
          <cell r="P67" t="str">
            <v>N</v>
          </cell>
          <cell r="Q67" t="str">
            <v>I</v>
          </cell>
        </row>
        <row r="68">
          <cell r="A68" t="str">
            <v>1999-070 H</v>
          </cell>
          <cell r="B68">
            <v>36923</v>
          </cell>
          <cell r="C68">
            <v>6.9600999999999997</v>
          </cell>
          <cell r="D68">
            <v>0.24249999999999999</v>
          </cell>
          <cell r="E68">
            <v>0</v>
          </cell>
          <cell r="F68">
            <v>0</v>
          </cell>
          <cell r="G68">
            <v>0</v>
          </cell>
          <cell r="H68">
            <v>1.1344000000000001</v>
          </cell>
          <cell r="I68">
            <v>-1.17E-2</v>
          </cell>
          <cell r="J68">
            <v>6.0199999999999997E-2</v>
          </cell>
          <cell r="K68">
            <v>8.3855000000000004</v>
          </cell>
          <cell r="L68">
            <v>7.2025999999999994</v>
          </cell>
          <cell r="M68" t="str">
            <v>I</v>
          </cell>
          <cell r="N68" t="str">
            <v>N</v>
          </cell>
          <cell r="O68" t="str">
            <v>I</v>
          </cell>
          <cell r="P68" t="str">
            <v>R</v>
          </cell>
          <cell r="Q68" t="str">
            <v>I</v>
          </cell>
        </row>
        <row r="69">
          <cell r="A69" t="str">
            <v>1999-070 I</v>
          </cell>
          <cell r="B69">
            <v>36951</v>
          </cell>
          <cell r="C69">
            <v>6.0629999999999997</v>
          </cell>
          <cell r="D69">
            <v>0.24249999999999999</v>
          </cell>
          <cell r="E69">
            <v>0</v>
          </cell>
          <cell r="F69">
            <v>0</v>
          </cell>
          <cell r="G69">
            <v>0</v>
          </cell>
          <cell r="H69">
            <v>1.1344000000000001</v>
          </cell>
          <cell r="I69">
            <v>-1.17E-2</v>
          </cell>
          <cell r="J69">
            <v>6.0199999999999997E-2</v>
          </cell>
          <cell r="K69">
            <v>7.4883999999999995</v>
          </cell>
          <cell r="L69">
            <v>6.3054999999999994</v>
          </cell>
          <cell r="M69" t="str">
            <v>R</v>
          </cell>
          <cell r="N69" t="str">
            <v>N</v>
          </cell>
          <cell r="O69" t="str">
            <v>N</v>
          </cell>
          <cell r="P69" t="str">
            <v>N</v>
          </cell>
          <cell r="Q69" t="str">
            <v>R</v>
          </cell>
        </row>
        <row r="70">
          <cell r="A70" t="str">
            <v>1999-070 J</v>
          </cell>
          <cell r="B70">
            <v>36982</v>
          </cell>
          <cell r="C70">
            <v>6.0091999999999999</v>
          </cell>
          <cell r="D70">
            <v>0.24249999999999999</v>
          </cell>
          <cell r="E70">
            <v>0</v>
          </cell>
          <cell r="F70">
            <v>0</v>
          </cell>
          <cell r="G70">
            <v>0</v>
          </cell>
          <cell r="H70">
            <v>1.1344000000000001</v>
          </cell>
          <cell r="I70">
            <v>-1.17E-2</v>
          </cell>
          <cell r="J70">
            <v>6.0199999999999997E-2</v>
          </cell>
          <cell r="K70">
            <v>7.4345999999999997</v>
          </cell>
          <cell r="L70">
            <v>6.2516999999999996</v>
          </cell>
          <cell r="M70" t="str">
            <v>R</v>
          </cell>
          <cell r="N70" t="str">
            <v>N</v>
          </cell>
          <cell r="O70" t="str">
            <v>N</v>
          </cell>
          <cell r="P70" t="str">
            <v>N</v>
          </cell>
          <cell r="Q70" t="str">
            <v>R</v>
          </cell>
        </row>
        <row r="71">
          <cell r="A71" t="str">
            <v>1999-070 K</v>
          </cell>
          <cell r="B71">
            <v>37012</v>
          </cell>
          <cell r="C71">
            <v>5.8128000000000002</v>
          </cell>
          <cell r="D71">
            <v>0.21010000000000001</v>
          </cell>
          <cell r="E71">
            <v>0</v>
          </cell>
          <cell r="F71">
            <v>0</v>
          </cell>
          <cell r="G71">
            <v>0</v>
          </cell>
          <cell r="H71">
            <v>1.4216</v>
          </cell>
          <cell r="I71">
            <v>-1.2200000000000001E-2</v>
          </cell>
          <cell r="J71">
            <v>6.0199999999999997E-2</v>
          </cell>
          <cell r="K71">
            <v>7.4924999999999997</v>
          </cell>
          <cell r="L71">
            <v>6.0228999999999999</v>
          </cell>
          <cell r="M71" t="str">
            <v>R</v>
          </cell>
          <cell r="N71" t="str">
            <v>I</v>
          </cell>
          <cell r="O71" t="str">
            <v>R</v>
          </cell>
          <cell r="P71" t="str">
            <v>N</v>
          </cell>
          <cell r="Q71" t="str">
            <v>I</v>
          </cell>
        </row>
        <row r="72">
          <cell r="A72" t="str">
            <v>1999-070 L</v>
          </cell>
          <cell r="B72">
            <v>37043</v>
          </cell>
          <cell r="C72">
            <v>5.6711</v>
          </cell>
          <cell r="D72">
            <v>0.21010000000000001</v>
          </cell>
          <cell r="E72">
            <v>0</v>
          </cell>
          <cell r="F72">
            <v>0</v>
          </cell>
          <cell r="G72">
            <v>0</v>
          </cell>
          <cell r="H72">
            <v>1.4216</v>
          </cell>
          <cell r="I72">
            <v>-1.2200000000000001E-2</v>
          </cell>
          <cell r="J72">
            <v>6.0199999999999997E-2</v>
          </cell>
          <cell r="K72">
            <v>7.3507999999999996</v>
          </cell>
          <cell r="L72">
            <v>5.8811999999999998</v>
          </cell>
          <cell r="M72" t="str">
            <v>R</v>
          </cell>
          <cell r="N72" t="str">
            <v>N</v>
          </cell>
          <cell r="O72" t="str">
            <v>N</v>
          </cell>
          <cell r="P72" t="str">
            <v>N</v>
          </cell>
          <cell r="Q72" t="str">
            <v>R</v>
          </cell>
        </row>
        <row r="73">
          <cell r="A73" t="str">
            <v>1999-070 M</v>
          </cell>
          <cell r="B73">
            <v>37073</v>
          </cell>
          <cell r="C73">
            <v>4.9177</v>
          </cell>
          <cell r="D73">
            <v>0.21010000000000001</v>
          </cell>
          <cell r="E73">
            <v>0</v>
          </cell>
          <cell r="F73">
            <v>0</v>
          </cell>
          <cell r="G73">
            <v>0</v>
          </cell>
          <cell r="H73">
            <v>1.4216</v>
          </cell>
          <cell r="I73">
            <v>-1.2200000000000001E-2</v>
          </cell>
          <cell r="J73">
            <v>6.0199999999999997E-2</v>
          </cell>
          <cell r="K73">
            <v>6.5973999999999995</v>
          </cell>
          <cell r="L73">
            <v>5.1277999999999997</v>
          </cell>
          <cell r="M73" t="str">
            <v>R</v>
          </cell>
          <cell r="N73" t="str">
            <v>N</v>
          </cell>
          <cell r="O73" t="str">
            <v>N</v>
          </cell>
          <cell r="P73" t="str">
            <v>N</v>
          </cell>
          <cell r="Q73" t="str">
            <v>R</v>
          </cell>
        </row>
        <row r="74">
          <cell r="A74" t="str">
            <v>1999-070 N</v>
          </cell>
          <cell r="B74">
            <v>37104</v>
          </cell>
          <cell r="C74">
            <v>4.3213999999999997</v>
          </cell>
          <cell r="D74">
            <v>0.21010000000000001</v>
          </cell>
          <cell r="E74">
            <v>0</v>
          </cell>
          <cell r="F74">
            <v>0</v>
          </cell>
          <cell r="G74">
            <v>0</v>
          </cell>
          <cell r="H74">
            <v>1.4216</v>
          </cell>
          <cell r="I74">
            <v>-5.0000000000000001E-4</v>
          </cell>
          <cell r="J74">
            <v>6.0199999999999997E-2</v>
          </cell>
          <cell r="K74">
            <v>6.0127999999999995</v>
          </cell>
          <cell r="L74">
            <v>4.5314999999999994</v>
          </cell>
          <cell r="M74" t="str">
            <v>R</v>
          </cell>
          <cell r="N74" t="str">
            <v>N</v>
          </cell>
          <cell r="O74" t="str">
            <v>I</v>
          </cell>
          <cell r="P74" t="str">
            <v>N</v>
          </cell>
          <cell r="Q74" t="str">
            <v>R</v>
          </cell>
        </row>
        <row r="75">
          <cell r="A75" t="str">
            <v>1999-070 O</v>
          </cell>
          <cell r="B75">
            <v>37196</v>
          </cell>
          <cell r="C75">
            <v>3.6354000000000002</v>
          </cell>
          <cell r="D75">
            <v>0.21010000000000001</v>
          </cell>
          <cell r="E75">
            <v>0</v>
          </cell>
          <cell r="F75">
            <v>0</v>
          </cell>
          <cell r="G75">
            <v>0</v>
          </cell>
          <cell r="H75">
            <v>0.1522</v>
          </cell>
          <cell r="I75">
            <v>-2.4000000000000002E-3</v>
          </cell>
          <cell r="J75">
            <v>6.0199999999999997E-2</v>
          </cell>
          <cell r="K75">
            <v>4.0555000000000003</v>
          </cell>
        </row>
        <row r="76">
          <cell r="A76" t="str">
            <v>1999-070 P</v>
          </cell>
          <cell r="B76">
            <v>37288</v>
          </cell>
          <cell r="C76">
            <v>3.34</v>
          </cell>
          <cell r="D76">
            <v>0.21010000000000001</v>
          </cell>
          <cell r="E76">
            <v>0</v>
          </cell>
          <cell r="F76">
            <v>0</v>
          </cell>
          <cell r="G76">
            <v>0</v>
          </cell>
          <cell r="H76">
            <v>3.8899999999999997E-2</v>
          </cell>
          <cell r="I76">
            <v>-2.4000000000000002E-3</v>
          </cell>
          <cell r="J76">
            <v>2.3699999999999999E-2</v>
          </cell>
          <cell r="K76">
            <v>3.6103000000000001</v>
          </cell>
        </row>
        <row r="77">
          <cell r="A77" t="str">
            <v>2002-00113</v>
          </cell>
          <cell r="B77">
            <v>37377</v>
          </cell>
          <cell r="C77">
            <v>3.5903999999999998</v>
          </cell>
          <cell r="D77">
            <v>0.21010000000000001</v>
          </cell>
          <cell r="E77">
            <v>0</v>
          </cell>
          <cell r="F77">
            <v>0</v>
          </cell>
          <cell r="G77">
            <v>0</v>
          </cell>
          <cell r="H77">
            <v>-0.2407</v>
          </cell>
          <cell r="I77">
            <v>-1.9E-3</v>
          </cell>
          <cell r="J77">
            <v>2.3699999999999999E-2</v>
          </cell>
          <cell r="K77">
            <v>3.5815999999999999</v>
          </cell>
        </row>
        <row r="78">
          <cell r="A78" t="str">
            <v>2002-00251</v>
          </cell>
          <cell r="B78">
            <v>37469</v>
          </cell>
          <cell r="C78">
            <v>3.5659999999999998</v>
          </cell>
          <cell r="D78">
            <v>0.21010000000000001</v>
          </cell>
          <cell r="E78">
            <v>0</v>
          </cell>
          <cell r="F78">
            <v>0</v>
          </cell>
          <cell r="G78">
            <v>0</v>
          </cell>
          <cell r="H78">
            <v>-0.2248</v>
          </cell>
          <cell r="I78">
            <v>-3.8E-3</v>
          </cell>
          <cell r="J78">
            <v>2.3699999999999999E-2</v>
          </cell>
          <cell r="K78">
            <v>3.5712000000000002</v>
          </cell>
        </row>
        <row r="79">
          <cell r="A79" t="str">
            <v>2002-00359</v>
          </cell>
          <cell r="B79">
            <v>37561</v>
          </cell>
          <cell r="C79">
            <v>4.0022000000000002</v>
          </cell>
          <cell r="D79">
            <v>0.19040000000000001</v>
          </cell>
          <cell r="E79">
            <v>0</v>
          </cell>
          <cell r="F79">
            <v>0</v>
          </cell>
          <cell r="G79">
            <v>0</v>
          </cell>
          <cell r="H79">
            <v>5.1999999999999998E-3</v>
          </cell>
          <cell r="I79">
            <v>-4.0999999999999995E-2</v>
          </cell>
          <cell r="J79">
            <v>2.3699999999999999E-2</v>
          </cell>
          <cell r="K79">
            <v>4.1805000000000003</v>
          </cell>
        </row>
        <row r="80">
          <cell r="A80" t="str">
            <v>2003-00002</v>
          </cell>
          <cell r="B80">
            <v>37653</v>
          </cell>
          <cell r="C80">
            <v>4.4122000000000003</v>
          </cell>
          <cell r="D80">
            <v>0.19040000000000001</v>
          </cell>
          <cell r="E80">
            <v>0</v>
          </cell>
          <cell r="F80">
            <v>0</v>
          </cell>
          <cell r="G80">
            <v>0</v>
          </cell>
          <cell r="H80">
            <v>0.1686</v>
          </cell>
          <cell r="I80">
            <v>-4.0999999999999995E-2</v>
          </cell>
          <cell r="J80">
            <v>7.4700000000000003E-2</v>
          </cell>
          <cell r="K80">
            <v>4.5057</v>
          </cell>
        </row>
        <row r="81">
          <cell r="A81" t="str">
            <v>2003-00083</v>
          </cell>
          <cell r="B81">
            <v>37713</v>
          </cell>
          <cell r="C81">
            <v>6.6096000000000004</v>
          </cell>
          <cell r="D81">
            <v>0.19040000000000001</v>
          </cell>
          <cell r="E81">
            <v>0</v>
          </cell>
          <cell r="F81">
            <v>0</v>
          </cell>
          <cell r="G81">
            <v>0</v>
          </cell>
          <cell r="H81">
            <v>0.1686</v>
          </cell>
          <cell r="I81">
            <v>-4.0999999999999995E-2</v>
          </cell>
          <cell r="J81">
            <v>7.4700000000000003E-2</v>
          </cell>
          <cell r="K81">
            <v>7.0023000000000009</v>
          </cell>
        </row>
        <row r="82">
          <cell r="A82" t="str">
            <v>2003-00126</v>
          </cell>
          <cell r="B82" t="str">
            <v>05/01/03</v>
          </cell>
          <cell r="C82">
            <v>5.5705</v>
          </cell>
          <cell r="D82">
            <v>0.19040000000000001</v>
          </cell>
          <cell r="E82">
            <v>0</v>
          </cell>
          <cell r="F82">
            <v>0</v>
          </cell>
          <cell r="G82">
            <v>0</v>
          </cell>
          <cell r="H82">
            <v>0.21640000000000001</v>
          </cell>
          <cell r="I82">
            <v>-4.0999999999999995E-2</v>
          </cell>
          <cell r="J82">
            <v>7.4700000000000003E-2</v>
          </cell>
          <cell r="K82">
            <v>6.0110000000000001</v>
          </cell>
        </row>
        <row r="83">
          <cell r="A83" t="str">
            <v>2003-00258</v>
          </cell>
          <cell r="B83">
            <v>37834</v>
          </cell>
          <cell r="C83">
            <v>6.3529999999999998</v>
          </cell>
          <cell r="D83">
            <v>0.18709999999999999</v>
          </cell>
          <cell r="E83">
            <v>0</v>
          </cell>
          <cell r="F83">
            <v>0</v>
          </cell>
          <cell r="G83">
            <v>0</v>
          </cell>
          <cell r="H83">
            <v>0.45200000000000001</v>
          </cell>
          <cell r="I83">
            <v>-3.9099999999999996E-2</v>
          </cell>
          <cell r="J83">
            <v>7.4700000000000003E-2</v>
          </cell>
          <cell r="K83">
            <v>7.0276999999999994</v>
          </cell>
        </row>
        <row r="84">
          <cell r="A84" t="str">
            <v>2003-00377</v>
          </cell>
          <cell r="B84">
            <v>37926</v>
          </cell>
          <cell r="C84">
            <v>5.6509999999999998</v>
          </cell>
          <cell r="D84">
            <v>0.18709999999999999</v>
          </cell>
          <cell r="E84">
            <v>0</v>
          </cell>
          <cell r="F84">
            <v>0</v>
          </cell>
          <cell r="G84">
            <v>0</v>
          </cell>
          <cell r="H84">
            <v>0.54669999999999996</v>
          </cell>
          <cell r="I84">
            <v>-5.9999999999999995E-4</v>
          </cell>
          <cell r="J84">
            <v>7.4700000000000003E-2</v>
          </cell>
          <cell r="K84">
            <v>6.4588999999999999</v>
          </cell>
        </row>
        <row r="85">
          <cell r="A85" t="str">
            <v>2003-00504</v>
          </cell>
          <cell r="B85">
            <v>38018</v>
          </cell>
          <cell r="C85">
            <v>5.9219999999999997</v>
          </cell>
          <cell r="D85">
            <v>0.18709999999999999</v>
          </cell>
          <cell r="E85">
            <v>0</v>
          </cell>
          <cell r="F85">
            <v>0</v>
          </cell>
          <cell r="G85">
            <v>0</v>
          </cell>
          <cell r="H85">
            <v>0.5554</v>
          </cell>
          <cell r="I85">
            <v>-5.9999999999999995E-4</v>
          </cell>
          <cell r="J85">
            <v>6.1199999999999997E-2</v>
          </cell>
          <cell r="K85">
            <v>6.7250999999999994</v>
          </cell>
        </row>
        <row r="86">
          <cell r="A86" t="str">
            <v>2004-00122</v>
          </cell>
          <cell r="B86">
            <v>38108</v>
          </cell>
          <cell r="C86">
            <v>6.0660999999999996</v>
          </cell>
          <cell r="D86">
            <v>0.18709999999999999</v>
          </cell>
          <cell r="E86">
            <v>0</v>
          </cell>
          <cell r="F86">
            <v>0</v>
          </cell>
          <cell r="G86">
            <v>0</v>
          </cell>
          <cell r="H86">
            <v>0.14910000000000001</v>
          </cell>
          <cell r="I86">
            <v>-5.9999999999999995E-4</v>
          </cell>
          <cell r="J86">
            <v>6.1199999999999997E-2</v>
          </cell>
          <cell r="K86">
            <v>6.4629000000000003</v>
          </cell>
        </row>
        <row r="87">
          <cell r="A87" t="str">
            <v>2004-00269</v>
          </cell>
          <cell r="B87">
            <v>38200</v>
          </cell>
          <cell r="C87">
            <v>7.0430999999999999</v>
          </cell>
          <cell r="D87">
            <v>0.18709999999999999</v>
          </cell>
          <cell r="E87">
            <v>0</v>
          </cell>
          <cell r="F87">
            <v>0</v>
          </cell>
          <cell r="G87">
            <v>0</v>
          </cell>
          <cell r="H87">
            <v>0.1148</v>
          </cell>
          <cell r="I87">
            <v>-5.3999999999999994E-3</v>
          </cell>
          <cell r="J87">
            <v>6.1199999999999997E-2</v>
          </cell>
          <cell r="K87">
            <v>7.4008000000000003</v>
          </cell>
        </row>
        <row r="88">
          <cell r="A88" t="str">
            <v>2004-00398</v>
          </cell>
          <cell r="B88">
            <v>38292</v>
          </cell>
          <cell r="C88">
            <v>6.8804999999999996</v>
          </cell>
          <cell r="D88">
            <v>0.18640000000000001</v>
          </cell>
          <cell r="E88">
            <v>0</v>
          </cell>
          <cell r="F88">
            <v>0</v>
          </cell>
          <cell r="G88">
            <v>0</v>
          </cell>
          <cell r="H88">
            <v>0.2064</v>
          </cell>
          <cell r="I88">
            <v>-4.7999999999999996E-3</v>
          </cell>
          <cell r="J88">
            <v>6.1199999999999997E-2</v>
          </cell>
          <cell r="K88">
            <v>7.3296999999999999</v>
          </cell>
        </row>
        <row r="89">
          <cell r="A89" t="str">
            <v>2005-00013</v>
          </cell>
          <cell r="B89">
            <v>38384</v>
          </cell>
          <cell r="C89">
            <v>6.7214999999999998</v>
          </cell>
          <cell r="D89">
            <v>0.18640000000000001</v>
          </cell>
          <cell r="E89">
            <v>0</v>
          </cell>
          <cell r="F89">
            <v>0</v>
          </cell>
          <cell r="G89">
            <v>0</v>
          </cell>
          <cell r="H89">
            <v>0.3876</v>
          </cell>
          <cell r="I89">
            <v>-4.7999999999999996E-3</v>
          </cell>
          <cell r="J89">
            <v>4.48E-2</v>
          </cell>
          <cell r="K89">
            <v>7.3354999999999997</v>
          </cell>
        </row>
        <row r="90">
          <cell r="A90" t="str">
            <v>2005-00139</v>
          </cell>
          <cell r="B90">
            <v>38473</v>
          </cell>
          <cell r="C90">
            <v>8.0664999999999996</v>
          </cell>
          <cell r="D90">
            <v>0.18640000000000001</v>
          </cell>
          <cell r="E90">
            <v>0</v>
          </cell>
          <cell r="F90">
            <v>0</v>
          </cell>
          <cell r="G90">
            <v>0</v>
          </cell>
          <cell r="H90">
            <v>0.34960000000000002</v>
          </cell>
          <cell r="I90">
            <v>-4.7999999999999996E-3</v>
          </cell>
          <cell r="J90">
            <v>4.48E-2</v>
          </cell>
          <cell r="K90">
            <v>8.6425000000000001</v>
          </cell>
        </row>
        <row r="91">
          <cell r="A91" t="str">
            <v>2005-00271</v>
          </cell>
          <cell r="B91">
            <v>38565</v>
          </cell>
          <cell r="C91">
            <v>8.327</v>
          </cell>
          <cell r="D91">
            <v>0.18640000000000001</v>
          </cell>
          <cell r="E91">
            <v>0</v>
          </cell>
          <cell r="F91">
            <v>0</v>
          </cell>
          <cell r="G91">
            <v>0</v>
          </cell>
          <cell r="H91">
            <v>5.7599999999999998E-2</v>
          </cell>
          <cell r="I91">
            <v>-4.7999999999999996E-3</v>
          </cell>
          <cell r="J91">
            <v>4.48E-2</v>
          </cell>
          <cell r="K91">
            <v>8.6110000000000007</v>
          </cell>
        </row>
        <row r="92">
          <cell r="A92" t="str">
            <v>2005-00354</v>
          </cell>
          <cell r="B92">
            <v>38626</v>
          </cell>
          <cell r="C92">
            <v>10.2639</v>
          </cell>
          <cell r="D92">
            <v>0.18640000000000001</v>
          </cell>
          <cell r="E92">
            <v>0</v>
          </cell>
          <cell r="F92">
            <v>0</v>
          </cell>
          <cell r="G92">
            <v>0</v>
          </cell>
          <cell r="H92">
            <v>5.7599999999999998E-2</v>
          </cell>
          <cell r="I92">
            <v>-4.7999999999999996E-3</v>
          </cell>
          <cell r="J92">
            <v>4.48E-2</v>
          </cell>
          <cell r="K92">
            <v>10.547900000000002</v>
          </cell>
        </row>
        <row r="93">
          <cell r="A93" t="str">
            <v>2005-00399</v>
          </cell>
          <cell r="B93">
            <v>38657</v>
          </cell>
          <cell r="C93">
            <v>9.9666999999999994</v>
          </cell>
          <cell r="D93">
            <v>0.18640000000000001</v>
          </cell>
          <cell r="E93">
            <v>0</v>
          </cell>
          <cell r="F93">
            <v>0</v>
          </cell>
          <cell r="G93">
            <v>0</v>
          </cell>
          <cell r="H93">
            <v>0.40460000000000002</v>
          </cell>
          <cell r="I93">
            <v>-1.6999999999999999E-3</v>
          </cell>
          <cell r="J93">
            <v>4.48E-2</v>
          </cell>
          <cell r="K93">
            <v>10.6008</v>
          </cell>
        </row>
        <row r="94">
          <cell r="A94" t="str">
            <v>2005-00552</v>
          </cell>
          <cell r="B94">
            <v>38749</v>
          </cell>
          <cell r="C94">
            <v>10.3019</v>
          </cell>
          <cell r="D94">
            <v>0.2195</v>
          </cell>
          <cell r="E94">
            <v>0</v>
          </cell>
          <cell r="F94">
            <v>0</v>
          </cell>
          <cell r="G94">
            <v>0</v>
          </cell>
          <cell r="H94">
            <v>0.77170000000000005</v>
          </cell>
          <cell r="I94">
            <v>-1.6999999999999999E-3</v>
          </cell>
          <cell r="J94">
            <v>3.9899999999999998E-2</v>
          </cell>
          <cell r="K94">
            <v>11.331300000000001</v>
          </cell>
        </row>
        <row r="95">
          <cell r="A95" t="str">
            <v>2006-00135</v>
          </cell>
          <cell r="B95">
            <v>38838</v>
          </cell>
          <cell r="C95">
            <v>7.9545000000000003</v>
          </cell>
          <cell r="D95">
            <v>0.18390000000000001</v>
          </cell>
          <cell r="E95">
            <v>0</v>
          </cell>
          <cell r="F95">
            <v>0</v>
          </cell>
          <cell r="G95">
            <v>0</v>
          </cell>
          <cell r="H95">
            <v>0.29880000000000001</v>
          </cell>
          <cell r="I95">
            <v>-1.6999999999999999E-3</v>
          </cell>
          <cell r="J95">
            <v>3.9899999999999998E-2</v>
          </cell>
          <cell r="K95">
            <v>8.4754000000000005</v>
          </cell>
        </row>
        <row r="96">
          <cell r="A96" t="str">
            <v>2006-00324</v>
          </cell>
          <cell r="B96">
            <v>38930</v>
          </cell>
          <cell r="C96">
            <v>7.7975000000000003</v>
          </cell>
          <cell r="D96">
            <v>0.18390000000000001</v>
          </cell>
          <cell r="E96">
            <v>0</v>
          </cell>
          <cell r="F96">
            <v>0</v>
          </cell>
          <cell r="G96">
            <v>0</v>
          </cell>
          <cell r="H96">
            <v>-0.1749</v>
          </cell>
          <cell r="I96">
            <v>-1.6999999999999999E-3</v>
          </cell>
          <cell r="J96">
            <v>3.9899999999999998E-2</v>
          </cell>
          <cell r="K96">
            <v>7.8447000000000005</v>
          </cell>
        </row>
        <row r="97">
          <cell r="A97" t="str">
            <v>2006-00428</v>
          </cell>
          <cell r="B97">
            <v>39022</v>
          </cell>
          <cell r="C97">
            <v>8.0540000000000003</v>
          </cell>
          <cell r="D97">
            <v>0.18390000000000001</v>
          </cell>
          <cell r="E97">
            <v>0</v>
          </cell>
          <cell r="F97">
            <v>0</v>
          </cell>
          <cell r="G97">
            <v>0</v>
          </cell>
          <cell r="H97">
            <v>-0.30880000000000002</v>
          </cell>
          <cell r="I97">
            <v>-5.5399999999999998E-2</v>
          </cell>
          <cell r="J97">
            <v>3.9899999999999998E-2</v>
          </cell>
          <cell r="K97">
            <v>7.9135999999999997</v>
          </cell>
        </row>
      </sheetData>
      <sheetData sheetId="41">
        <row r="8">
          <cell r="A8" t="str">
            <v>95-010 C</v>
          </cell>
          <cell r="B8">
            <v>34943</v>
          </cell>
          <cell r="C8">
            <v>1.6788000000000001</v>
          </cell>
          <cell r="D8">
            <v>0.37959999999999999</v>
          </cell>
          <cell r="E8">
            <v>-1.9E-3</v>
          </cell>
        </row>
        <row r="9">
          <cell r="A9" t="str">
            <v>95-010 D</v>
          </cell>
          <cell r="B9">
            <v>34973</v>
          </cell>
          <cell r="C9">
            <v>1.7593000000000001</v>
          </cell>
          <cell r="D9">
            <v>0.36449999999999999</v>
          </cell>
          <cell r="E9">
            <v>3.5000000000000001E-3</v>
          </cell>
        </row>
        <row r="10">
          <cell r="A10" t="str">
            <v>95-010 E</v>
          </cell>
          <cell r="B10">
            <v>35004</v>
          </cell>
          <cell r="C10">
            <v>1.8481000000000001</v>
          </cell>
          <cell r="D10">
            <v>0.3342</v>
          </cell>
          <cell r="E10">
            <v>3.2500000000000001E-2</v>
          </cell>
        </row>
        <row r="11">
          <cell r="A11" t="str">
            <v>95-010 F</v>
          </cell>
          <cell r="B11">
            <v>35034</v>
          </cell>
          <cell r="C11">
            <v>2.5830000000000002</v>
          </cell>
          <cell r="D11">
            <v>0.22819999999999999</v>
          </cell>
          <cell r="E11">
            <v>0.19769999999999999</v>
          </cell>
        </row>
        <row r="12">
          <cell r="A12" t="str">
            <v>95-010 G</v>
          </cell>
          <cell r="B12">
            <v>35065</v>
          </cell>
          <cell r="C12">
            <v>3.6097000000000001</v>
          </cell>
          <cell r="D12">
            <v>0.3276</v>
          </cell>
          <cell r="E12">
            <v>1.29E-2</v>
          </cell>
        </row>
        <row r="13">
          <cell r="A13" t="str">
            <v>95-010 H</v>
          </cell>
          <cell r="B13">
            <v>35096</v>
          </cell>
          <cell r="C13">
            <v>3.1621000000000001</v>
          </cell>
          <cell r="D13">
            <v>0.31209999999999999</v>
          </cell>
          <cell r="E13">
            <v>3.8999999999999998E-3</v>
          </cell>
        </row>
        <row r="14">
          <cell r="A14" t="str">
            <v>95-010 I</v>
          </cell>
          <cell r="B14">
            <v>35125</v>
          </cell>
          <cell r="C14">
            <v>3.0878000000000001</v>
          </cell>
          <cell r="D14">
            <v>0.33699999999999997</v>
          </cell>
          <cell r="E14">
            <v>7.6999999999998181E-3</v>
          </cell>
        </row>
        <row r="15">
          <cell r="A15" t="str">
            <v>95-010 J</v>
          </cell>
          <cell r="B15">
            <v>35156</v>
          </cell>
          <cell r="C15">
            <v>2.9451999999999998</v>
          </cell>
          <cell r="D15">
            <v>0.33270000000000005</v>
          </cell>
          <cell r="E15">
            <v>5.0399999999999778E-2</v>
          </cell>
        </row>
        <row r="16">
          <cell r="A16" t="str">
            <v>95-010 K</v>
          </cell>
          <cell r="B16">
            <v>35186</v>
          </cell>
          <cell r="C16">
            <v>2.3868999999999998</v>
          </cell>
          <cell r="D16">
            <v>0.30230000000000001</v>
          </cell>
          <cell r="E16">
            <v>2.12E-2</v>
          </cell>
        </row>
        <row r="17">
          <cell r="A17" t="str">
            <v>95-010 L</v>
          </cell>
          <cell r="B17">
            <v>35217</v>
          </cell>
          <cell r="C17">
            <v>2.5070000000000001</v>
          </cell>
          <cell r="D17">
            <v>0.245</v>
          </cell>
          <cell r="E17">
            <v>-3.0199999999999783E-2</v>
          </cell>
        </row>
        <row r="18">
          <cell r="A18" t="str">
            <v>95-010 M</v>
          </cell>
          <cell r="B18">
            <v>35247</v>
          </cell>
          <cell r="C18">
            <v>2.8332000000000002</v>
          </cell>
          <cell r="D18">
            <v>0.2445</v>
          </cell>
          <cell r="E18">
            <v>-1.8000000000002458E-3</v>
          </cell>
        </row>
        <row r="19">
          <cell r="A19" t="str">
            <v>95-010 N</v>
          </cell>
          <cell r="B19">
            <v>35278</v>
          </cell>
          <cell r="C19">
            <v>2.4481999999999999</v>
          </cell>
          <cell r="D19">
            <v>0.24390000000000001</v>
          </cell>
          <cell r="E19">
            <v>0</v>
          </cell>
        </row>
        <row r="20">
          <cell r="A20" t="str">
            <v>95-010 O</v>
          </cell>
          <cell r="B20">
            <v>35309</v>
          </cell>
          <cell r="C20">
            <v>2.3172999999999999</v>
          </cell>
          <cell r="D20">
            <v>0.26250000000000001</v>
          </cell>
          <cell r="E20">
            <v>3.4000000000000252E-2</v>
          </cell>
        </row>
        <row r="21">
          <cell r="A21" t="str">
            <v>95-010 P</v>
          </cell>
          <cell r="B21">
            <v>35339</v>
          </cell>
          <cell r="C21">
            <v>2.0539000000000001</v>
          </cell>
          <cell r="D21">
            <v>0.26500000000000001</v>
          </cell>
          <cell r="E21">
            <v>-0.23839999999999995</v>
          </cell>
        </row>
        <row r="22">
          <cell r="A22" t="str">
            <v>95-010 Q</v>
          </cell>
          <cell r="B22">
            <v>35370</v>
          </cell>
          <cell r="C22">
            <v>3.1606000000000001</v>
          </cell>
          <cell r="D22">
            <v>0.25490000000000002</v>
          </cell>
          <cell r="E22">
            <v>3.7000000000000002E-3</v>
          </cell>
        </row>
        <row r="23">
          <cell r="A23" t="str">
            <v>95-010 R</v>
          </cell>
          <cell r="B23">
            <v>35400</v>
          </cell>
          <cell r="C23">
            <v>4.3159000000000001</v>
          </cell>
          <cell r="D23">
            <v>0.24779999999999999</v>
          </cell>
          <cell r="E23">
            <v>-1.6000000000000014E-2</v>
          </cell>
        </row>
        <row r="24">
          <cell r="A24" t="str">
            <v>95-010 S</v>
          </cell>
          <cell r="B24">
            <v>35431</v>
          </cell>
          <cell r="C24">
            <v>4.2289000000000003</v>
          </cell>
          <cell r="D24">
            <v>0.25990000000000002</v>
          </cell>
          <cell r="E24">
            <v>1.000000000000334E-3</v>
          </cell>
        </row>
        <row r="25">
          <cell r="A25" t="str">
            <v>95-010 T</v>
          </cell>
          <cell r="B25">
            <v>35462</v>
          </cell>
          <cell r="C25">
            <v>3.1</v>
          </cell>
          <cell r="D25">
            <v>0.25979999999999998</v>
          </cell>
          <cell r="E25">
            <v>9.9000000000000199E-3</v>
          </cell>
        </row>
        <row r="26">
          <cell r="A26" t="str">
            <v>95-010 U</v>
          </cell>
          <cell r="B26">
            <v>35490</v>
          </cell>
          <cell r="C26">
            <v>1.9297</v>
          </cell>
          <cell r="D26">
            <v>0.25990000000000002</v>
          </cell>
          <cell r="E26">
            <v>-5.3900000000000059E-2</v>
          </cell>
        </row>
        <row r="27">
          <cell r="A27" t="str">
            <v>95-010 V</v>
          </cell>
          <cell r="B27">
            <v>35521</v>
          </cell>
          <cell r="C27">
            <v>2.1265000000000001</v>
          </cell>
          <cell r="D27">
            <v>0.25570000000000004</v>
          </cell>
          <cell r="E27">
            <v>-1.4100000000000001E-2</v>
          </cell>
        </row>
        <row r="28">
          <cell r="A28" t="str">
            <v>95-010 W</v>
          </cell>
          <cell r="B28">
            <v>35551</v>
          </cell>
          <cell r="C28">
            <v>2.3639999999999999</v>
          </cell>
          <cell r="D28">
            <v>0.25570000000000004</v>
          </cell>
          <cell r="E28">
            <v>-0.12110000000000021</v>
          </cell>
        </row>
        <row r="29">
          <cell r="A29" t="str">
            <v>95-010 X</v>
          </cell>
          <cell r="B29">
            <v>35582</v>
          </cell>
          <cell r="C29">
            <v>2.4377</v>
          </cell>
          <cell r="D29">
            <v>0.27779999999999999</v>
          </cell>
          <cell r="E29">
            <v>0</v>
          </cell>
        </row>
        <row r="30">
          <cell r="A30" t="str">
            <v>95-010 Y</v>
          </cell>
          <cell r="B30">
            <v>35612</v>
          </cell>
          <cell r="C30">
            <v>2.5013000000000001</v>
          </cell>
          <cell r="D30">
            <v>0.26489999999999997</v>
          </cell>
          <cell r="E30">
            <v>8.1000000000002181E-3</v>
          </cell>
        </row>
        <row r="31">
          <cell r="A31" t="str">
            <v>95-010 Z</v>
          </cell>
          <cell r="B31">
            <v>35643</v>
          </cell>
          <cell r="C31">
            <v>2.3273999999999999</v>
          </cell>
          <cell r="D31">
            <v>0.30159999999999998</v>
          </cell>
          <cell r="E31">
            <v>-9.800000000000253E-3</v>
          </cell>
        </row>
        <row r="32">
          <cell r="A32" t="str">
            <v>95-010 AA</v>
          </cell>
          <cell r="B32">
            <v>35674</v>
          </cell>
          <cell r="C32">
            <v>2.4371999999999998</v>
          </cell>
          <cell r="D32">
            <v>0.26100000000000001</v>
          </cell>
          <cell r="E32">
            <v>2.2499999999999999E-2</v>
          </cell>
        </row>
        <row r="33">
          <cell r="A33" t="str">
            <v>95-010 BB</v>
          </cell>
          <cell r="B33">
            <v>35704</v>
          </cell>
          <cell r="C33">
            <v>3.1143000000000001</v>
          </cell>
          <cell r="D33">
            <v>0.26819999999999999</v>
          </cell>
          <cell r="E33">
            <v>5.4000000000002935E-3</v>
          </cell>
        </row>
        <row r="34">
          <cell r="A34" t="str">
            <v>95-010 CC</v>
          </cell>
          <cell r="B34">
            <v>35735</v>
          </cell>
          <cell r="C34">
            <v>3.4891999999999999</v>
          </cell>
          <cell r="D34">
            <v>0.26819999999999999</v>
          </cell>
          <cell r="E34">
            <v>-0.10470000000000024</v>
          </cell>
        </row>
        <row r="35">
          <cell r="A35" t="str">
            <v>95-010 DD</v>
          </cell>
          <cell r="B35">
            <v>35765</v>
          </cell>
          <cell r="C35">
            <v>2.6930999999999998</v>
          </cell>
          <cell r="D35">
            <v>0.30880000000000002</v>
          </cell>
          <cell r="E35">
            <v>0.115</v>
          </cell>
        </row>
        <row r="36">
          <cell r="A36" t="str">
            <v>95-010 EE</v>
          </cell>
          <cell r="B36">
            <v>35796</v>
          </cell>
          <cell r="C36">
            <v>2.4893999999999998</v>
          </cell>
          <cell r="D36">
            <v>0.30880000000000002</v>
          </cell>
          <cell r="E36">
            <v>-4.469999999999974E-2</v>
          </cell>
        </row>
        <row r="37">
          <cell r="A37" t="str">
            <v>95-010 FF</v>
          </cell>
          <cell r="B37">
            <v>35827</v>
          </cell>
          <cell r="C37">
            <v>2.3378000000000001</v>
          </cell>
          <cell r="D37">
            <v>0.30880000000000002</v>
          </cell>
          <cell r="E37">
            <v>-6.7799999999999638E-2</v>
          </cell>
        </row>
        <row r="38">
          <cell r="A38" t="str">
            <v>95-010 GG</v>
          </cell>
          <cell r="B38">
            <v>35855</v>
          </cell>
          <cell r="C38">
            <v>2.3269000000000002</v>
          </cell>
          <cell r="D38">
            <v>0.24859999999999999</v>
          </cell>
          <cell r="E38">
            <v>-0.15920000000000023</v>
          </cell>
        </row>
        <row r="39">
          <cell r="A39" t="str">
            <v>95-010 HH</v>
          </cell>
          <cell r="B39">
            <v>35886</v>
          </cell>
          <cell r="C39">
            <v>2.4558</v>
          </cell>
          <cell r="D39">
            <v>0.222</v>
          </cell>
          <cell r="E39">
            <v>0.10379999999999967</v>
          </cell>
        </row>
        <row r="40">
          <cell r="A40" t="str">
            <v>95-010 II</v>
          </cell>
          <cell r="B40">
            <v>35916</v>
          </cell>
          <cell r="C40">
            <v>2.2869000000000002</v>
          </cell>
          <cell r="D40">
            <v>0.222</v>
          </cell>
          <cell r="E40">
            <v>5.259999999999998E-2</v>
          </cell>
        </row>
        <row r="41">
          <cell r="A41" t="str">
            <v>95-010 JJ</v>
          </cell>
          <cell r="B41">
            <v>35947</v>
          </cell>
          <cell r="C41">
            <v>2.3929999999999998</v>
          </cell>
          <cell r="D41">
            <v>0.23550000000000001</v>
          </cell>
          <cell r="E41">
            <v>-1.3700000000000045E-2</v>
          </cell>
        </row>
        <row r="42">
          <cell r="A42" t="str">
            <v>95-010 KK</v>
          </cell>
          <cell r="B42">
            <v>35977</v>
          </cell>
          <cell r="C42">
            <v>2.4350999999999998</v>
          </cell>
          <cell r="D42">
            <v>0.23470000000000002</v>
          </cell>
          <cell r="E42">
            <v>1.4300000000000423E-2</v>
          </cell>
        </row>
        <row r="43">
          <cell r="A43" t="str">
            <v>95-010 LL</v>
          </cell>
          <cell r="B43">
            <v>36008</v>
          </cell>
          <cell r="C43">
            <v>1.9495</v>
          </cell>
          <cell r="D43">
            <v>0.23470000000000002</v>
          </cell>
          <cell r="E43">
            <v>-3.0899999999999928E-2</v>
          </cell>
        </row>
        <row r="44">
          <cell r="A44" t="str">
            <v>95-010 MM</v>
          </cell>
          <cell r="B44">
            <v>36039</v>
          </cell>
          <cell r="C44">
            <v>1.9322999999999999</v>
          </cell>
          <cell r="D44">
            <v>0.23470000000000002</v>
          </cell>
          <cell r="E44">
            <v>0.70840000000000014</v>
          </cell>
        </row>
        <row r="45">
          <cell r="A45" t="str">
            <v>95-010 NN</v>
          </cell>
          <cell r="B45">
            <v>36069</v>
          </cell>
          <cell r="C45">
            <v>1.8403</v>
          </cell>
          <cell r="D45">
            <v>0.23470000000000002</v>
          </cell>
          <cell r="E45">
            <v>-9.199999999999986E-2</v>
          </cell>
        </row>
        <row r="46">
          <cell r="A46" t="str">
            <v>95-010 OO</v>
          </cell>
          <cell r="B46">
            <v>36100</v>
          </cell>
          <cell r="C46">
            <v>2.0097</v>
          </cell>
          <cell r="D46">
            <v>0.2172</v>
          </cell>
          <cell r="E46">
            <v>0.1694</v>
          </cell>
        </row>
        <row r="47">
          <cell r="A47" t="str">
            <v>95-010 PP</v>
          </cell>
          <cell r="B47">
            <v>36130</v>
          </cell>
          <cell r="C47">
            <v>2.1608000000000001</v>
          </cell>
          <cell r="D47">
            <v>0.2172</v>
          </cell>
          <cell r="E47">
            <v>0.15110000000000001</v>
          </cell>
        </row>
        <row r="48">
          <cell r="A48" t="str">
            <v>95-010 QQ</v>
          </cell>
          <cell r="B48">
            <v>36161</v>
          </cell>
          <cell r="C48">
            <v>1.9796</v>
          </cell>
          <cell r="D48">
            <v>0.2172</v>
          </cell>
          <cell r="E48">
            <v>-0.18730000000000002</v>
          </cell>
        </row>
        <row r="49">
          <cell r="A49" t="str">
            <v>95-010 RR</v>
          </cell>
          <cell r="B49">
            <v>36192</v>
          </cell>
          <cell r="C49">
            <v>1.8795999999999999</v>
          </cell>
          <cell r="D49">
            <v>0.2172</v>
          </cell>
          <cell r="E49">
            <v>-0.1</v>
          </cell>
        </row>
        <row r="50">
          <cell r="A50" t="str">
            <v>95-010 SS</v>
          </cell>
          <cell r="B50">
            <v>36220</v>
          </cell>
          <cell r="C50">
            <v>1.9111</v>
          </cell>
          <cell r="D50">
            <v>0.2172</v>
          </cell>
          <cell r="E50">
            <v>3.15E-2</v>
          </cell>
        </row>
        <row r="51">
          <cell r="A51" t="str">
            <v>95-010 TT</v>
          </cell>
          <cell r="B51">
            <v>36251</v>
          </cell>
          <cell r="C51">
            <v>1.7602</v>
          </cell>
          <cell r="D51">
            <v>0.2172</v>
          </cell>
          <cell r="E51">
            <v>-0.1608</v>
          </cell>
        </row>
        <row r="52">
          <cell r="A52" t="str">
            <v>95-010 UU</v>
          </cell>
          <cell r="B52">
            <v>36281</v>
          </cell>
          <cell r="C52">
            <v>2.0323000000000002</v>
          </cell>
          <cell r="D52">
            <v>0.20619999999999999</v>
          </cell>
          <cell r="E52">
            <v>0.27210000000000001</v>
          </cell>
        </row>
        <row r="53">
          <cell r="A53" t="str">
            <v>95-010 VV</v>
          </cell>
          <cell r="B53">
            <v>36312</v>
          </cell>
          <cell r="C53">
            <v>2.3763000000000001</v>
          </cell>
          <cell r="D53">
            <v>0.20619999999999999</v>
          </cell>
          <cell r="E53">
            <v>0.34399999999999997</v>
          </cell>
        </row>
        <row r="54">
          <cell r="A54" t="str">
            <v>95-010 WW</v>
          </cell>
          <cell r="B54">
            <v>36342</v>
          </cell>
          <cell r="C54">
            <v>2.3330000000000002</v>
          </cell>
          <cell r="D54">
            <v>0.20699999999999999</v>
          </cell>
          <cell r="E54">
            <v>-4.5100000000000001E-2</v>
          </cell>
        </row>
        <row r="55">
          <cell r="A55" t="str">
            <v>95-010 XX</v>
          </cell>
          <cell r="B55">
            <v>36373</v>
          </cell>
          <cell r="C55">
            <v>2.2801</v>
          </cell>
          <cell r="D55">
            <v>0.20699999999999999</v>
          </cell>
          <cell r="E55">
            <v>-5.2900000000000003E-2</v>
          </cell>
        </row>
        <row r="56">
          <cell r="A56" t="str">
            <v>95-010 YY</v>
          </cell>
          <cell r="B56">
            <v>36404</v>
          </cell>
          <cell r="C56">
            <v>2.2353000000000001</v>
          </cell>
          <cell r="D56">
            <v>0.20699999999999999</v>
          </cell>
          <cell r="E56">
            <v>0.51049999999999995</v>
          </cell>
        </row>
        <row r="57">
          <cell r="A57" t="str">
            <v>99-070</v>
          </cell>
          <cell r="B57">
            <v>36434</v>
          </cell>
          <cell r="C57">
            <v>2.9076</v>
          </cell>
          <cell r="D57">
            <v>0.20699999999999999</v>
          </cell>
          <cell r="E57">
            <v>0.67230000000000001</v>
          </cell>
        </row>
        <row r="58">
          <cell r="A58" t="str">
            <v>99-070 A</v>
          </cell>
          <cell r="B58">
            <v>36465</v>
          </cell>
          <cell r="C58">
            <v>2.6151</v>
          </cell>
          <cell r="D58">
            <v>0.1933</v>
          </cell>
          <cell r="E58">
            <v>-9.98E-2</v>
          </cell>
        </row>
        <row r="59">
          <cell r="A59" t="str">
            <v>1999-070 B</v>
          </cell>
          <cell r="B59">
            <v>36526</v>
          </cell>
          <cell r="C59">
            <v>2.6151</v>
          </cell>
          <cell r="D59">
            <v>0.19209999999999999</v>
          </cell>
          <cell r="E59">
            <v>-9.98E-2</v>
          </cell>
        </row>
        <row r="60">
          <cell r="A60" t="str">
            <v>1999-070 C</v>
          </cell>
          <cell r="B60">
            <v>36557</v>
          </cell>
          <cell r="C60">
            <v>3.1292</v>
          </cell>
          <cell r="D60">
            <v>0.193</v>
          </cell>
          <cell r="E60">
            <v>0.46689999999999998</v>
          </cell>
        </row>
        <row r="61">
          <cell r="A61" t="str">
            <v>1999-070 D</v>
          </cell>
          <cell r="B61">
            <v>36617</v>
          </cell>
          <cell r="C61">
            <v>2.8828</v>
          </cell>
          <cell r="D61">
            <v>0.20400000000000001</v>
          </cell>
          <cell r="E61">
            <v>9.0700000000000003E-2</v>
          </cell>
        </row>
        <row r="62">
          <cell r="A62" t="str">
            <v>1999-070 E</v>
          </cell>
          <cell r="B62">
            <v>36647</v>
          </cell>
          <cell r="C62">
            <v>3.1551999999999998</v>
          </cell>
          <cell r="D62">
            <v>0.20400000000000001</v>
          </cell>
          <cell r="E62">
            <v>0.27239999999999998</v>
          </cell>
        </row>
        <row r="63">
          <cell r="A63" t="str">
            <v>1999-070 F</v>
          </cell>
          <cell r="B63">
            <v>36708</v>
          </cell>
          <cell r="C63">
            <v>4.6307999999999998</v>
          </cell>
          <cell r="D63">
            <v>0.20400000000000001</v>
          </cell>
          <cell r="E63">
            <v>1.1285000000000001</v>
          </cell>
        </row>
        <row r="64">
          <cell r="A64" t="str">
            <v>1999-070 G</v>
          </cell>
          <cell r="B64">
            <v>36739</v>
          </cell>
          <cell r="C64">
            <v>4.4837999999999996</v>
          </cell>
          <cell r="D64">
            <v>0.20400000000000001</v>
          </cell>
          <cell r="E64">
            <v>-0.14700000000000024</v>
          </cell>
        </row>
        <row r="65">
          <cell r="A65" t="str">
            <v>1999-070 H</v>
          </cell>
          <cell r="B65">
            <v>36831</v>
          </cell>
          <cell r="C65">
            <v>5.4024000000000001</v>
          </cell>
          <cell r="D65">
            <v>0.18820000000000001</v>
          </cell>
          <cell r="E65">
            <v>0.30630000000000002</v>
          </cell>
        </row>
        <row r="66">
          <cell r="A66" t="str">
            <v>1999-070 I</v>
          </cell>
          <cell r="B66">
            <v>36861</v>
          </cell>
          <cell r="C66">
            <v>5.2557999999999998</v>
          </cell>
          <cell r="D66">
            <v>0.18820000000000001</v>
          </cell>
          <cell r="E66">
            <v>-0.14660000000000001</v>
          </cell>
        </row>
        <row r="67">
          <cell r="A67" t="str">
            <v>1999-070 J</v>
          </cell>
          <cell r="B67">
            <v>36892</v>
          </cell>
          <cell r="C67">
            <v>8.2843999999999998</v>
          </cell>
          <cell r="D67">
            <v>0.18820000000000001</v>
          </cell>
          <cell r="E67">
            <v>3.0286</v>
          </cell>
        </row>
        <row r="68">
          <cell r="A68" t="str">
            <v>1999-070 K</v>
          </cell>
          <cell r="B68">
            <v>36923</v>
          </cell>
          <cell r="C68">
            <v>9.5794999999999995</v>
          </cell>
          <cell r="D68">
            <v>0.24249999999999999</v>
          </cell>
          <cell r="E68">
            <v>1.2950999999999999</v>
          </cell>
        </row>
        <row r="69">
          <cell r="A69" t="str">
            <v>1999-070 L</v>
          </cell>
          <cell r="B69">
            <v>36951</v>
          </cell>
          <cell r="C69">
            <v>6.1877000000000004</v>
          </cell>
          <cell r="D69">
            <v>0.24249999999999999</v>
          </cell>
          <cell r="E69">
            <v>-3.3917999999999999</v>
          </cell>
        </row>
        <row r="70">
          <cell r="A70" t="str">
            <v>1999-070 M</v>
          </cell>
          <cell r="B70">
            <v>36982</v>
          </cell>
          <cell r="C70">
            <v>5.2763</v>
          </cell>
          <cell r="D70">
            <v>0.24249999999999999</v>
          </cell>
          <cell r="E70">
            <v>-0.91139999999999999</v>
          </cell>
        </row>
        <row r="71">
          <cell r="A71" t="str">
            <v>1999-070 N</v>
          </cell>
          <cell r="B71">
            <v>37012</v>
          </cell>
          <cell r="C71">
            <v>5.4908999999999999</v>
          </cell>
          <cell r="D71">
            <v>0.21010000000000001</v>
          </cell>
          <cell r="E71">
            <v>0.21460000000000001</v>
          </cell>
        </row>
        <row r="72">
          <cell r="A72" t="str">
            <v>1999-070 O</v>
          </cell>
          <cell r="B72">
            <v>37104</v>
          </cell>
          <cell r="C72">
            <v>3.2080000000000002</v>
          </cell>
          <cell r="D72">
            <v>0.21010000000000001</v>
          </cell>
          <cell r="E72">
            <v>-0.63959999999999995</v>
          </cell>
        </row>
        <row r="73">
          <cell r="A73" t="str">
            <v>1999-070 P</v>
          </cell>
          <cell r="B73">
            <v>37196</v>
          </cell>
          <cell r="C73">
            <v>1.9111</v>
          </cell>
          <cell r="D73">
            <v>0.21010000000000001</v>
          </cell>
          <cell r="E73">
            <v>3.15E-2</v>
          </cell>
        </row>
        <row r="74">
          <cell r="A74" t="str">
            <v>2002-00113</v>
          </cell>
          <cell r="B74">
            <v>37288</v>
          </cell>
          <cell r="C74">
            <v>1.9111</v>
          </cell>
          <cell r="D74">
            <v>0.21010000000000001</v>
          </cell>
          <cell r="E74">
            <v>3.15E-2</v>
          </cell>
        </row>
        <row r="75">
          <cell r="A75" t="str">
            <v>2002-00251</v>
          </cell>
          <cell r="B75">
            <v>37377</v>
          </cell>
          <cell r="C75">
            <v>1.9111</v>
          </cell>
          <cell r="D75">
            <v>0.21010000000000001</v>
          </cell>
          <cell r="E75">
            <v>3.15E-2</v>
          </cell>
        </row>
        <row r="76">
          <cell r="A76" t="str">
            <v>2002-00359</v>
          </cell>
          <cell r="B76">
            <v>37469</v>
          </cell>
          <cell r="C76">
            <v>1.9111</v>
          </cell>
          <cell r="D76">
            <v>0.20830000000000001</v>
          </cell>
          <cell r="E76">
            <v>3.15E-2</v>
          </cell>
        </row>
        <row r="77">
          <cell r="A77" t="str">
            <v>200 -</v>
          </cell>
          <cell r="B77">
            <v>37561</v>
          </cell>
          <cell r="C77">
            <v>1.9111</v>
          </cell>
          <cell r="D77">
            <v>0</v>
          </cell>
          <cell r="E77">
            <v>3.15E-2</v>
          </cell>
        </row>
        <row r="78">
          <cell r="A78" t="str">
            <v>2003-000</v>
          </cell>
          <cell r="B78">
            <v>37622</v>
          </cell>
          <cell r="C78">
            <v>1.9111</v>
          </cell>
          <cell r="D78">
            <v>0.15930000000000002</v>
          </cell>
          <cell r="E78">
            <v>3.15E-2</v>
          </cell>
        </row>
        <row r="79">
          <cell r="A79" t="str">
            <v>2003-00002</v>
          </cell>
          <cell r="B79">
            <v>37653</v>
          </cell>
          <cell r="C79">
            <v>1.9111</v>
          </cell>
          <cell r="D79">
            <v>0.15930000000000002</v>
          </cell>
          <cell r="E79">
            <v>3.15E-2</v>
          </cell>
        </row>
        <row r="80">
          <cell r="A80" t="str">
            <v>2003-00083</v>
          </cell>
          <cell r="B80">
            <v>37712</v>
          </cell>
          <cell r="C80">
            <v>1.9111</v>
          </cell>
          <cell r="D80">
            <v>0.15930000000000002</v>
          </cell>
          <cell r="E80">
            <v>3.15E-2</v>
          </cell>
        </row>
        <row r="81">
          <cell r="A81" t="str">
            <v>2003-00126</v>
          </cell>
          <cell r="B81">
            <v>37742</v>
          </cell>
          <cell r="C81">
            <v>1.9111</v>
          </cell>
          <cell r="D81">
            <v>0.15930000000000002</v>
          </cell>
          <cell r="E81">
            <v>3.15E-2</v>
          </cell>
        </row>
        <row r="82">
          <cell r="A82" t="str">
            <v>2003-00258</v>
          </cell>
          <cell r="B82">
            <v>37834</v>
          </cell>
          <cell r="C82">
            <v>1.9111</v>
          </cell>
          <cell r="D82">
            <v>0.15930000000000002</v>
          </cell>
          <cell r="E82">
            <v>3.15E-2</v>
          </cell>
        </row>
        <row r="83">
          <cell r="A83" t="str">
            <v>2003-00377</v>
          </cell>
          <cell r="B83">
            <v>37926</v>
          </cell>
          <cell r="C83">
            <v>1.9111</v>
          </cell>
          <cell r="D83">
            <v>0.1578</v>
          </cell>
          <cell r="E83">
            <v>3.15E-2</v>
          </cell>
        </row>
        <row r="84">
          <cell r="A84" t="str">
            <v>2003-00504</v>
          </cell>
          <cell r="B84">
            <v>38018</v>
          </cell>
          <cell r="C84">
            <v>1.9111</v>
          </cell>
          <cell r="D84">
            <v>0.1578</v>
          </cell>
          <cell r="E84">
            <v>3.15E-2</v>
          </cell>
        </row>
        <row r="85">
          <cell r="A85" t="str">
            <v>2004-00122</v>
          </cell>
          <cell r="B85">
            <v>38108</v>
          </cell>
          <cell r="C85">
            <v>1.9111</v>
          </cell>
          <cell r="D85">
            <v>0.18709999999999999</v>
          </cell>
          <cell r="E85">
            <v>3.15E-2</v>
          </cell>
        </row>
        <row r="86">
          <cell r="A86" t="str">
            <v>2004-00269</v>
          </cell>
          <cell r="B86">
            <v>38200</v>
          </cell>
          <cell r="C86">
            <v>1.9111</v>
          </cell>
          <cell r="D86">
            <v>0.18709999999999999</v>
          </cell>
          <cell r="E86">
            <v>3.15E-2</v>
          </cell>
        </row>
      </sheetData>
      <sheetData sheetId="42">
        <row r="7">
          <cell r="A7" t="str">
            <v>Case No.</v>
          </cell>
          <cell r="B7" t="str">
            <v>Effective</v>
          </cell>
          <cell r="C7" t="str">
            <v>Demand</v>
          </cell>
          <cell r="D7" t="str">
            <v>TOP</v>
          </cell>
          <cell r="E7" t="str">
            <v>Transition</v>
          </cell>
          <cell r="F7" t="str">
            <v>RF</v>
          </cell>
          <cell r="G7" t="str">
            <v>Non-Commodity</v>
          </cell>
        </row>
        <row r="8">
          <cell r="A8" t="str">
            <v>95-010</v>
          </cell>
          <cell r="B8">
            <v>34943</v>
          </cell>
          <cell r="C8">
            <v>1.0213000000000001</v>
          </cell>
          <cell r="D8">
            <v>8.2000000000000007E-3</v>
          </cell>
          <cell r="E8">
            <v>0.13819999999999999</v>
          </cell>
          <cell r="F8">
            <v>-0.191</v>
          </cell>
          <cell r="G8">
            <v>0.9766999999999999</v>
          </cell>
        </row>
        <row r="9">
          <cell r="A9" t="str">
            <v>95-010 A</v>
          </cell>
          <cell r="B9">
            <v>34999</v>
          </cell>
          <cell r="C9">
            <v>1.0213000000000001</v>
          </cell>
          <cell r="D9">
            <v>8.2000000000000007E-3</v>
          </cell>
          <cell r="E9">
            <v>0.1231</v>
          </cell>
          <cell r="F9">
            <v>-0.191</v>
          </cell>
          <cell r="G9">
            <v>0.96160000000000001</v>
          </cell>
        </row>
        <row r="10">
          <cell r="A10" t="str">
            <v>95-010 B</v>
          </cell>
          <cell r="B10">
            <v>35004</v>
          </cell>
          <cell r="C10">
            <v>1.0213000000000001</v>
          </cell>
          <cell r="D10">
            <v>8.2000000000000007E-3</v>
          </cell>
          <cell r="E10">
            <v>7.7499999999999999E-2</v>
          </cell>
          <cell r="F10">
            <v>-0.14150000000000001</v>
          </cell>
          <cell r="G10">
            <v>0.96550000000000002</v>
          </cell>
        </row>
        <row r="11">
          <cell r="A11" t="str">
            <v>95-010 C</v>
          </cell>
          <cell r="B11">
            <v>35034</v>
          </cell>
          <cell r="C11">
            <v>1.0213000000000001</v>
          </cell>
          <cell r="D11">
            <v>8.2000000000000007E-3</v>
          </cell>
          <cell r="E11">
            <v>7.46E-2</v>
          </cell>
          <cell r="F11">
            <v>-0.14219999999999999</v>
          </cell>
          <cell r="G11">
            <v>0.96190000000000009</v>
          </cell>
        </row>
        <row r="12">
          <cell r="A12" t="str">
            <v>95-010 D</v>
          </cell>
          <cell r="B12">
            <v>35065</v>
          </cell>
          <cell r="C12">
            <v>1.0088999999999999</v>
          </cell>
          <cell r="D12">
            <v>8.2000000000000007E-3</v>
          </cell>
          <cell r="E12">
            <v>7.46E-2</v>
          </cell>
          <cell r="F12">
            <v>-0.14219999999999999</v>
          </cell>
          <cell r="G12">
            <v>0.9494999999999999</v>
          </cell>
        </row>
        <row r="13">
          <cell r="A13" t="str">
            <v>95-010 E</v>
          </cell>
          <cell r="B13">
            <v>35096</v>
          </cell>
          <cell r="C13">
            <v>1.0424</v>
          </cell>
          <cell r="D13">
            <v>0</v>
          </cell>
          <cell r="E13">
            <v>6.3200000000000006E-2</v>
          </cell>
          <cell r="F13">
            <v>-0.14219999999999999</v>
          </cell>
          <cell r="G13">
            <v>0.96339999999999992</v>
          </cell>
        </row>
        <row r="14">
          <cell r="A14" t="str">
            <v>95-010 F</v>
          </cell>
          <cell r="B14">
            <v>35125</v>
          </cell>
          <cell r="C14">
            <v>1.0442</v>
          </cell>
          <cell r="D14">
            <v>0</v>
          </cell>
          <cell r="E14">
            <v>6.3200000000000006E-2</v>
          </cell>
          <cell r="F14">
            <v>-6.3E-2</v>
          </cell>
          <cell r="G14">
            <v>1.0444</v>
          </cell>
        </row>
        <row r="15">
          <cell r="A15" t="str">
            <v>95-010 G</v>
          </cell>
          <cell r="B15">
            <v>35156</v>
          </cell>
          <cell r="C15">
            <v>1.0227999999999999</v>
          </cell>
          <cell r="D15">
            <v>0</v>
          </cell>
          <cell r="E15">
            <v>6.6400000000000001E-2</v>
          </cell>
          <cell r="F15">
            <v>-3.09E-2</v>
          </cell>
          <cell r="G15">
            <v>1.0583</v>
          </cell>
        </row>
        <row r="16">
          <cell r="A16" t="str">
            <v>95-010 H</v>
          </cell>
          <cell r="B16">
            <v>35186</v>
          </cell>
          <cell r="C16">
            <v>0.9073</v>
          </cell>
          <cell r="D16">
            <v>0</v>
          </cell>
          <cell r="E16">
            <v>6.6400000000000001E-2</v>
          </cell>
          <cell r="F16">
            <v>-3.09E-2</v>
          </cell>
          <cell r="G16">
            <v>0.94279999999999997</v>
          </cell>
        </row>
        <row r="17">
          <cell r="A17" t="str">
            <v>95-010 I</v>
          </cell>
          <cell r="B17">
            <v>35217</v>
          </cell>
          <cell r="C17">
            <v>0.86250000000000004</v>
          </cell>
          <cell r="D17">
            <v>0</v>
          </cell>
          <cell r="E17">
            <v>4.2099999999999999E-2</v>
          </cell>
          <cell r="F17">
            <v>-9.5899999999999999E-2</v>
          </cell>
          <cell r="G17">
            <v>0.80870000000000009</v>
          </cell>
        </row>
        <row r="18">
          <cell r="A18" t="str">
            <v>95-010 J</v>
          </cell>
          <cell r="B18">
            <v>35247</v>
          </cell>
          <cell r="C18">
            <v>0.85740000000000005</v>
          </cell>
          <cell r="D18">
            <v>0</v>
          </cell>
          <cell r="E18">
            <v>4.3499999999999997E-2</v>
          </cell>
          <cell r="F18">
            <v>-9.8199999999999996E-2</v>
          </cell>
          <cell r="G18">
            <v>0.80270000000000008</v>
          </cell>
        </row>
        <row r="19">
          <cell r="A19" t="str">
            <v>95-010 K</v>
          </cell>
          <cell r="B19">
            <v>35278</v>
          </cell>
          <cell r="C19">
            <v>0.85519999999999996</v>
          </cell>
          <cell r="D19">
            <v>0</v>
          </cell>
          <cell r="E19">
            <v>4.3499999999999997E-2</v>
          </cell>
          <cell r="F19">
            <v>-9.8199999999999996E-2</v>
          </cell>
          <cell r="G19">
            <v>0.80049999999999999</v>
          </cell>
        </row>
        <row r="20">
          <cell r="A20" t="str">
            <v>95-010 L</v>
          </cell>
          <cell r="B20">
            <v>35309</v>
          </cell>
          <cell r="C20">
            <v>0.88370000000000004</v>
          </cell>
          <cell r="D20">
            <v>0</v>
          </cell>
          <cell r="E20">
            <v>4.7500000000000001E-2</v>
          </cell>
          <cell r="F20">
            <v>-6.8000000000000005E-2</v>
          </cell>
          <cell r="G20">
            <v>0.86319999999999997</v>
          </cell>
        </row>
        <row r="21">
          <cell r="A21" t="str">
            <v>95-010 M</v>
          </cell>
          <cell r="B21">
            <v>35339</v>
          </cell>
          <cell r="C21">
            <v>0.87540000000000007</v>
          </cell>
          <cell r="D21">
            <v>0</v>
          </cell>
          <cell r="E21">
            <v>4.99E-2</v>
          </cell>
          <cell r="F21">
            <v>-6.8000000000000005E-2</v>
          </cell>
          <cell r="G21">
            <v>0.85729999999999995</v>
          </cell>
        </row>
        <row r="22">
          <cell r="A22" t="str">
            <v>95-010 N</v>
          </cell>
          <cell r="B22">
            <v>35370</v>
          </cell>
          <cell r="C22">
            <v>0.83779999999999999</v>
          </cell>
          <cell r="D22">
            <v>0</v>
          </cell>
          <cell r="E22">
            <v>4.9799999999999997E-2</v>
          </cell>
          <cell r="F22">
            <v>-6.8000000000000005E-2</v>
          </cell>
          <cell r="G22">
            <v>0.8196</v>
          </cell>
        </row>
        <row r="23">
          <cell r="A23" t="str">
            <v>95-010 O</v>
          </cell>
          <cell r="B23">
            <v>35400</v>
          </cell>
          <cell r="C23">
            <v>0.81059999999999999</v>
          </cell>
          <cell r="D23">
            <v>0</v>
          </cell>
          <cell r="E23">
            <v>4.9799999999999997E-2</v>
          </cell>
          <cell r="F23">
            <v>-6.7299999999999999E-2</v>
          </cell>
          <cell r="G23">
            <v>0.79309999999999992</v>
          </cell>
        </row>
        <row r="24">
          <cell r="A24" t="str">
            <v>95-010 P</v>
          </cell>
          <cell r="B24">
            <v>35431</v>
          </cell>
          <cell r="C24">
            <v>0.81059999999999999</v>
          </cell>
          <cell r="D24">
            <v>0</v>
          </cell>
          <cell r="E24">
            <v>6.1899999999999997E-2</v>
          </cell>
          <cell r="F24">
            <v>-6.7299999999999999E-2</v>
          </cell>
          <cell r="G24">
            <v>0.80519999999999992</v>
          </cell>
        </row>
        <row r="25">
          <cell r="A25" t="str">
            <v>95-010 Q</v>
          </cell>
          <cell r="B25">
            <v>35462</v>
          </cell>
          <cell r="C25">
            <v>0.81059999999999999</v>
          </cell>
          <cell r="D25">
            <v>0</v>
          </cell>
          <cell r="E25">
            <v>6.1800000000000001E-2</v>
          </cell>
          <cell r="F25">
            <v>-6.7299999999999999E-2</v>
          </cell>
          <cell r="G25">
            <v>0.80510000000000004</v>
          </cell>
        </row>
        <row r="26">
          <cell r="A26" t="str">
            <v>95-010 R</v>
          </cell>
          <cell r="B26">
            <v>35490</v>
          </cell>
          <cell r="C26">
            <v>0.81090000000000007</v>
          </cell>
          <cell r="D26">
            <v>0</v>
          </cell>
          <cell r="E26">
            <v>6.1800000000000001E-2</v>
          </cell>
          <cell r="F26">
            <v>-6.7299999999999999E-2</v>
          </cell>
          <cell r="G26">
            <v>0.8054</v>
          </cell>
        </row>
        <row r="27">
          <cell r="A27" t="str">
            <v>95-010 S</v>
          </cell>
          <cell r="B27">
            <v>35521</v>
          </cell>
          <cell r="C27">
            <v>0.79519999999999991</v>
          </cell>
          <cell r="D27">
            <v>0</v>
          </cell>
          <cell r="E27">
            <v>6.1800000000000001E-2</v>
          </cell>
          <cell r="F27">
            <v>-6.7299999999999999E-2</v>
          </cell>
          <cell r="G27">
            <v>0.78969999999999985</v>
          </cell>
        </row>
        <row r="28">
          <cell r="A28" t="str">
            <v>95-010 T</v>
          </cell>
          <cell r="B28">
            <v>35551</v>
          </cell>
          <cell r="C28">
            <v>0.79519999999999991</v>
          </cell>
          <cell r="D28">
            <v>0</v>
          </cell>
          <cell r="E28">
            <v>6.1800000000000001E-2</v>
          </cell>
          <cell r="F28">
            <v>-6.7299999999999999E-2</v>
          </cell>
          <cell r="G28">
            <v>0.78969999999999996</v>
          </cell>
        </row>
        <row r="29">
          <cell r="A29" t="str">
            <v>95-010 U</v>
          </cell>
          <cell r="B29">
            <v>35582</v>
          </cell>
          <cell r="C29">
            <v>0.84510000000000007</v>
          </cell>
          <cell r="D29">
            <v>0</v>
          </cell>
          <cell r="E29">
            <v>5.2900000000000003E-2</v>
          </cell>
          <cell r="F29">
            <v>-2.3E-3</v>
          </cell>
          <cell r="G29">
            <v>0.89570000000000016</v>
          </cell>
        </row>
        <row r="30">
          <cell r="A30" t="str">
            <v>95-010 V</v>
          </cell>
          <cell r="B30">
            <v>35612</v>
          </cell>
          <cell r="C30">
            <v>0.84510000000000007</v>
          </cell>
          <cell r="D30">
            <v>0</v>
          </cell>
          <cell r="E30">
            <v>5.2900000000000003E-2</v>
          </cell>
          <cell r="F30">
            <v>-4.8800000000000003E-2</v>
          </cell>
          <cell r="G30">
            <v>0.84920000000000018</v>
          </cell>
        </row>
        <row r="31">
          <cell r="A31" t="str">
            <v>95-010 W</v>
          </cell>
          <cell r="B31">
            <v>35643</v>
          </cell>
          <cell r="C31">
            <v>0.98599999999999999</v>
          </cell>
          <cell r="D31">
            <v>0</v>
          </cell>
          <cell r="E31">
            <v>5.1999999999999998E-2</v>
          </cell>
          <cell r="F31">
            <v>-4.8800000000000003E-2</v>
          </cell>
          <cell r="G31">
            <v>0.98920000000000008</v>
          </cell>
        </row>
        <row r="32">
          <cell r="A32" t="str">
            <v>95-010 X</v>
          </cell>
          <cell r="B32">
            <v>35674</v>
          </cell>
          <cell r="C32">
            <v>0.83379999999999999</v>
          </cell>
          <cell r="D32">
            <v>0</v>
          </cell>
          <cell r="E32">
            <v>5.1999999999999998E-2</v>
          </cell>
          <cell r="F32">
            <v>-4.8800000000000003E-2</v>
          </cell>
          <cell r="G32">
            <v>0.83700000000000008</v>
          </cell>
        </row>
        <row r="33">
          <cell r="A33" t="str">
            <v>95-010 Y</v>
          </cell>
          <cell r="B33">
            <v>35704</v>
          </cell>
          <cell r="C33">
            <v>0.84150000000000003</v>
          </cell>
          <cell r="D33">
            <v>0</v>
          </cell>
          <cell r="E33">
            <v>5.9200000000000003E-2</v>
          </cell>
          <cell r="F33">
            <v>-4.8800000000000003E-2</v>
          </cell>
          <cell r="G33">
            <v>0.8519000000000001</v>
          </cell>
        </row>
        <row r="34">
          <cell r="A34" t="str">
            <v>95-010 Z</v>
          </cell>
          <cell r="B34">
            <v>35735</v>
          </cell>
          <cell r="C34">
            <v>0.84150000000000003</v>
          </cell>
          <cell r="D34">
            <v>0</v>
          </cell>
          <cell r="E34">
            <v>5.9200000000000003E-2</v>
          </cell>
          <cell r="F34">
            <v>-4.8800000000000003E-2</v>
          </cell>
          <cell r="G34">
            <v>0.8519000000000001</v>
          </cell>
        </row>
        <row r="35">
          <cell r="A35" t="str">
            <v>95-010 AA</v>
          </cell>
          <cell r="B35">
            <v>35765</v>
          </cell>
          <cell r="C35">
            <v>0.99509999999999998</v>
          </cell>
          <cell r="D35">
            <v>0</v>
          </cell>
          <cell r="E35">
            <v>5.9200000000000003E-2</v>
          </cell>
          <cell r="F35">
            <v>-4.8800000000000003E-2</v>
          </cell>
          <cell r="G35">
            <v>1.0055000000000001</v>
          </cell>
        </row>
        <row r="36">
          <cell r="A36" t="str">
            <v>95-010 BB</v>
          </cell>
          <cell r="B36">
            <v>35796</v>
          </cell>
          <cell r="C36">
            <v>0.99509999999999998</v>
          </cell>
          <cell r="D36">
            <v>0</v>
          </cell>
          <cell r="E36">
            <v>5.9200000000000003E-2</v>
          </cell>
          <cell r="F36">
            <v>-4.8800000000000003E-2</v>
          </cell>
          <cell r="G36">
            <v>1.0055000000000001</v>
          </cell>
        </row>
        <row r="37">
          <cell r="A37" t="str">
            <v>95-010 CC</v>
          </cell>
          <cell r="B37">
            <v>35827</v>
          </cell>
          <cell r="C37">
            <v>0.99509999999999998</v>
          </cell>
          <cell r="D37">
            <v>0</v>
          </cell>
          <cell r="E37">
            <v>5.9200000000000003E-2</v>
          </cell>
          <cell r="F37">
            <v>-4.8800000000000003E-2</v>
          </cell>
          <cell r="G37">
            <v>1.0055000000000001</v>
          </cell>
        </row>
        <row r="38">
          <cell r="A38" t="str">
            <v>95-010 DD</v>
          </cell>
          <cell r="B38">
            <v>35855</v>
          </cell>
          <cell r="C38">
            <v>0.87449999999999994</v>
          </cell>
          <cell r="D38">
            <v>0</v>
          </cell>
          <cell r="E38">
            <v>3.09E-2</v>
          </cell>
          <cell r="F38">
            <v>-4.8800000000000003E-2</v>
          </cell>
          <cell r="G38">
            <v>0.85660000000000003</v>
          </cell>
        </row>
        <row r="39">
          <cell r="A39" t="str">
            <v>95-010 EE</v>
          </cell>
          <cell r="B39">
            <v>35886</v>
          </cell>
          <cell r="C39">
            <v>0.82040000000000002</v>
          </cell>
          <cell r="D39">
            <v>0</v>
          </cell>
          <cell r="E39">
            <v>1.8599999999999998E-2</v>
          </cell>
          <cell r="F39">
            <v>-4.8800000000000003E-2</v>
          </cell>
          <cell r="G39">
            <v>0.79020000000000001</v>
          </cell>
        </row>
        <row r="40">
          <cell r="A40" t="str">
            <v>95-010 FF</v>
          </cell>
          <cell r="B40">
            <v>35916</v>
          </cell>
          <cell r="C40">
            <v>0.82040000000000002</v>
          </cell>
          <cell r="D40">
            <v>0</v>
          </cell>
          <cell r="E40">
            <v>1.8599999999999998E-2</v>
          </cell>
          <cell r="F40">
            <v>-4.8800000000000003E-2</v>
          </cell>
          <cell r="G40">
            <v>0.79020000000000001</v>
          </cell>
        </row>
        <row r="41">
          <cell r="A41" t="str">
            <v>95-010 GG</v>
          </cell>
          <cell r="B41">
            <v>35947</v>
          </cell>
          <cell r="C41">
            <v>0.82040000000000002</v>
          </cell>
          <cell r="D41">
            <v>0</v>
          </cell>
          <cell r="E41">
            <v>1.8599999999999998E-2</v>
          </cell>
          <cell r="F41">
            <v>0</v>
          </cell>
          <cell r="G41">
            <v>0.83899999999999997</v>
          </cell>
        </row>
        <row r="42">
          <cell r="A42" t="str">
            <v>95-010 HH</v>
          </cell>
          <cell r="B42">
            <v>35977</v>
          </cell>
          <cell r="C42">
            <v>0.82040000000000002</v>
          </cell>
          <cell r="D42">
            <v>0</v>
          </cell>
          <cell r="E42">
            <v>1.8599999999999998E-2</v>
          </cell>
          <cell r="F42">
            <v>-2.9999999999999996E-3</v>
          </cell>
          <cell r="G42">
            <v>0.83599999999999997</v>
          </cell>
        </row>
        <row r="43">
          <cell r="A43" t="str">
            <v>95-010 II</v>
          </cell>
          <cell r="B43">
            <v>36008</v>
          </cell>
          <cell r="C43">
            <v>0.82040000000000002</v>
          </cell>
          <cell r="D43">
            <v>0</v>
          </cell>
          <cell r="E43">
            <v>1.8599999999999998E-2</v>
          </cell>
          <cell r="F43">
            <v>-2.9999999999999996E-3</v>
          </cell>
          <cell r="G43">
            <v>0.83599999999999997</v>
          </cell>
        </row>
        <row r="44">
          <cell r="A44" t="str">
            <v>95-010 JJ</v>
          </cell>
          <cell r="B44">
            <v>36039</v>
          </cell>
          <cell r="C44">
            <v>0.82040000000000002</v>
          </cell>
          <cell r="D44">
            <v>0</v>
          </cell>
          <cell r="E44">
            <v>1.8599999999999998E-2</v>
          </cell>
          <cell r="F44">
            <v>-2.9999999999999996E-3</v>
          </cell>
          <cell r="G44">
            <v>0.83599999999999997</v>
          </cell>
        </row>
        <row r="45">
          <cell r="A45" t="str">
            <v>95-010 KK</v>
          </cell>
          <cell r="B45">
            <v>36069</v>
          </cell>
          <cell r="C45">
            <v>0.82040000000000002</v>
          </cell>
          <cell r="D45">
            <v>0</v>
          </cell>
          <cell r="E45">
            <v>1.8599999999999998E-2</v>
          </cell>
          <cell r="F45">
            <v>-2.9999999999999996E-3</v>
          </cell>
          <cell r="G45">
            <v>0.83599999999999997</v>
          </cell>
        </row>
        <row r="46">
          <cell r="A46" t="str">
            <v>95-010 LL</v>
          </cell>
          <cell r="B46">
            <v>36100</v>
          </cell>
          <cell r="C46">
            <v>0.75429999999999997</v>
          </cell>
          <cell r="D46">
            <v>0</v>
          </cell>
          <cell r="E46">
            <v>1.8599999999999998E-2</v>
          </cell>
          <cell r="F46">
            <v>-2.9999999999999996E-3</v>
          </cell>
          <cell r="G46">
            <v>0.76989999999999992</v>
          </cell>
        </row>
        <row r="47">
          <cell r="A47" t="str">
            <v>95-010 MM</v>
          </cell>
          <cell r="B47">
            <v>36130</v>
          </cell>
          <cell r="C47">
            <v>0.75429999999999997</v>
          </cell>
          <cell r="D47">
            <v>0</v>
          </cell>
          <cell r="E47">
            <v>1.8599999999999998E-2</v>
          </cell>
          <cell r="F47">
            <v>-2.9999999999999996E-3</v>
          </cell>
          <cell r="G47">
            <v>0.76989999999999992</v>
          </cell>
        </row>
        <row r="48">
          <cell r="A48" t="str">
            <v>95-010 NN</v>
          </cell>
          <cell r="B48">
            <v>36161</v>
          </cell>
          <cell r="C48">
            <v>0.75429999999999997</v>
          </cell>
          <cell r="D48">
            <v>0</v>
          </cell>
          <cell r="E48">
            <v>1.8599999999999998E-2</v>
          </cell>
          <cell r="F48">
            <v>-2.9999999999999996E-3</v>
          </cell>
          <cell r="G48">
            <v>0.76989999999999992</v>
          </cell>
        </row>
        <row r="49">
          <cell r="A49" t="str">
            <v>95-010 OO</v>
          </cell>
          <cell r="B49">
            <v>36192</v>
          </cell>
          <cell r="C49">
            <v>0.75429999999999997</v>
          </cell>
          <cell r="D49">
            <v>0</v>
          </cell>
          <cell r="E49">
            <v>1.8599999999999998E-2</v>
          </cell>
          <cell r="F49">
            <v>-2.9999999999999996E-3</v>
          </cell>
          <cell r="G49">
            <v>0.76989999999999992</v>
          </cell>
        </row>
        <row r="50">
          <cell r="A50" t="str">
            <v>95-010 PP</v>
          </cell>
          <cell r="B50">
            <v>36220</v>
          </cell>
          <cell r="C50">
            <v>0.75429999999999997</v>
          </cell>
          <cell r="D50">
            <v>0</v>
          </cell>
          <cell r="E50">
            <v>1.8599999999999998E-2</v>
          </cell>
          <cell r="F50">
            <v>-2.9999999999999996E-3</v>
          </cell>
          <cell r="G50">
            <v>0.76989999999999992</v>
          </cell>
        </row>
        <row r="51">
          <cell r="A51" t="str">
            <v>95-010 QQ</v>
          </cell>
          <cell r="B51">
            <v>36251</v>
          </cell>
          <cell r="C51">
            <v>0.75429999999999997</v>
          </cell>
          <cell r="D51">
            <v>0</v>
          </cell>
          <cell r="E51">
            <v>1.8599999999999998E-2</v>
          </cell>
          <cell r="F51">
            <v>-4.4200000000000003E-2</v>
          </cell>
          <cell r="G51">
            <v>0.7286999999999999</v>
          </cell>
        </row>
        <row r="52">
          <cell r="A52" t="str">
            <v>95-010 RR</v>
          </cell>
          <cell r="B52">
            <v>36281</v>
          </cell>
          <cell r="C52">
            <v>0.75429999999999997</v>
          </cell>
          <cell r="D52">
            <v>0</v>
          </cell>
          <cell r="E52">
            <v>1.8599999999999998E-2</v>
          </cell>
          <cell r="F52">
            <v>-4.4200000000000003E-2</v>
          </cell>
          <cell r="G52">
            <v>0.7286999999999999</v>
          </cell>
        </row>
        <row r="53">
          <cell r="A53" t="str">
            <v>95-010 SS</v>
          </cell>
          <cell r="B53">
            <v>36312</v>
          </cell>
          <cell r="C53">
            <v>0.75429999999999997</v>
          </cell>
          <cell r="D53">
            <v>0</v>
          </cell>
          <cell r="E53">
            <v>1.8599999999999998E-2</v>
          </cell>
          <cell r="F53">
            <v>-4.4200000000000003E-2</v>
          </cell>
          <cell r="G53">
            <v>0.7286999999999999</v>
          </cell>
        </row>
        <row r="54">
          <cell r="A54" t="str">
            <v>95-010 TT</v>
          </cell>
          <cell r="B54">
            <v>36342</v>
          </cell>
          <cell r="C54">
            <v>0.75429999999999997</v>
          </cell>
          <cell r="D54">
            <v>0</v>
          </cell>
          <cell r="E54">
            <v>1.8599999999999998E-2</v>
          </cell>
          <cell r="F54">
            <v>-4.1200000000000001E-2</v>
          </cell>
          <cell r="G54">
            <v>0.73169999999999991</v>
          </cell>
        </row>
        <row r="55">
          <cell r="A55" t="str">
            <v>95-010 UU</v>
          </cell>
          <cell r="B55">
            <v>36373</v>
          </cell>
          <cell r="C55">
            <v>0.75429999999999997</v>
          </cell>
          <cell r="D55">
            <v>0</v>
          </cell>
          <cell r="E55">
            <v>1.8599999999999998E-2</v>
          </cell>
          <cell r="F55">
            <v>-4.1200000000000001E-2</v>
          </cell>
          <cell r="G55">
            <v>0.73169999999999991</v>
          </cell>
        </row>
        <row r="56">
          <cell r="A56" t="str">
            <v>95-010 VV</v>
          </cell>
          <cell r="B56">
            <v>36404</v>
          </cell>
          <cell r="C56">
            <v>0.75429999999999997</v>
          </cell>
          <cell r="D56">
            <v>0</v>
          </cell>
          <cell r="E56">
            <v>1.8599999999999998E-2</v>
          </cell>
          <cell r="F56">
            <v>-4.1200000000000001E-2</v>
          </cell>
          <cell r="G56">
            <v>0.73169999999999991</v>
          </cell>
        </row>
        <row r="57">
          <cell r="A57" t="str">
            <v>95-010 WW</v>
          </cell>
          <cell r="B57">
            <v>36434</v>
          </cell>
          <cell r="C57">
            <v>0.75429999999999997</v>
          </cell>
          <cell r="D57">
            <v>0</v>
          </cell>
          <cell r="E57">
            <v>1.8599999999999998E-2</v>
          </cell>
          <cell r="F57">
            <v>-4.1200000000000001E-2</v>
          </cell>
          <cell r="G57">
            <v>0.73169999999999991</v>
          </cell>
        </row>
        <row r="58">
          <cell r="A58" t="str">
            <v>95-010 XX</v>
          </cell>
          <cell r="B58">
            <v>36465</v>
          </cell>
          <cell r="C58">
            <v>0.76140000000000008</v>
          </cell>
          <cell r="D58">
            <v>0</v>
          </cell>
          <cell r="E58">
            <v>3.0000000000000001E-3</v>
          </cell>
          <cell r="F58">
            <v>-4.1200000000000001E-2</v>
          </cell>
          <cell r="G58">
            <v>0.72320000000000007</v>
          </cell>
        </row>
        <row r="59">
          <cell r="A59" t="str">
            <v>95-010 YY</v>
          </cell>
          <cell r="B59">
            <v>36495</v>
          </cell>
          <cell r="C59">
            <v>0.75679999999999992</v>
          </cell>
          <cell r="D59">
            <v>0</v>
          </cell>
          <cell r="E59">
            <v>3.0000000000000001E-3</v>
          </cell>
          <cell r="F59">
            <v>-4.1200000000000001E-2</v>
          </cell>
          <cell r="G59">
            <v>0.71859999999999991</v>
          </cell>
        </row>
        <row r="60">
          <cell r="A60" t="str">
            <v>99-070</v>
          </cell>
          <cell r="B60">
            <v>36526</v>
          </cell>
          <cell r="C60">
            <v>0.75679999999999992</v>
          </cell>
          <cell r="D60">
            <v>0</v>
          </cell>
          <cell r="E60">
            <v>3.0000000000000001E-3</v>
          </cell>
          <cell r="F60">
            <v>-4.1200000000000001E-2</v>
          </cell>
          <cell r="G60">
            <v>0.71859999999999991</v>
          </cell>
        </row>
        <row r="61">
          <cell r="A61" t="str">
            <v>99-070 A</v>
          </cell>
          <cell r="B61">
            <v>36557</v>
          </cell>
          <cell r="C61">
            <v>0.76029999999999998</v>
          </cell>
          <cell r="D61">
            <v>0</v>
          </cell>
          <cell r="E61">
            <v>3.0000000000000001E-3</v>
          </cell>
          <cell r="F61">
            <v>-4.1200000000000001E-2</v>
          </cell>
          <cell r="G61">
            <v>0.72209999999999996</v>
          </cell>
        </row>
        <row r="62">
          <cell r="A62" t="str">
            <v>1999-070 B</v>
          </cell>
          <cell r="B62">
            <v>36617</v>
          </cell>
          <cell r="C62">
            <v>0.76029999999999998</v>
          </cell>
          <cell r="D62">
            <v>0</v>
          </cell>
          <cell r="E62">
            <v>3.0000000000000001E-3</v>
          </cell>
          <cell r="F62">
            <v>0</v>
          </cell>
          <cell r="G62">
            <v>0.76329999999999998</v>
          </cell>
        </row>
        <row r="63">
          <cell r="A63" t="str">
            <v>1999-070 C</v>
          </cell>
          <cell r="B63">
            <v>36647</v>
          </cell>
          <cell r="C63">
            <v>0.76029999999999998</v>
          </cell>
          <cell r="D63">
            <v>0</v>
          </cell>
          <cell r="E63">
            <v>3.0000000000000001E-3</v>
          </cell>
          <cell r="F63">
            <v>0</v>
          </cell>
          <cell r="G63">
            <v>0.76329999999999998</v>
          </cell>
        </row>
        <row r="64">
          <cell r="A64" t="str">
            <v>1999-070 D</v>
          </cell>
          <cell r="B64">
            <v>36708</v>
          </cell>
          <cell r="C64">
            <v>0.76029999999999998</v>
          </cell>
          <cell r="D64">
            <v>0</v>
          </cell>
          <cell r="E64">
            <v>3.0000000000000001E-3</v>
          </cell>
          <cell r="F64">
            <v>0</v>
          </cell>
          <cell r="G64">
            <v>0.76329999999999998</v>
          </cell>
        </row>
        <row r="65">
          <cell r="A65" t="str">
            <v>1999-070 E</v>
          </cell>
          <cell r="B65">
            <v>36739</v>
          </cell>
          <cell r="C65">
            <v>0.76029999999999998</v>
          </cell>
          <cell r="D65">
            <v>0</v>
          </cell>
          <cell r="E65">
            <v>3.0000000000000001E-3</v>
          </cell>
          <cell r="F65">
            <v>0</v>
          </cell>
          <cell r="G65">
            <v>0.76329999999999998</v>
          </cell>
        </row>
        <row r="66">
          <cell r="A66" t="str">
            <v>1999-070 F</v>
          </cell>
          <cell r="B66">
            <v>36800</v>
          </cell>
          <cell r="C66">
            <v>0.76029999999999998</v>
          </cell>
          <cell r="D66">
            <v>0</v>
          </cell>
          <cell r="E66">
            <v>3.0000000000000001E-3</v>
          </cell>
          <cell r="F66">
            <v>0</v>
          </cell>
          <cell r="G66">
            <v>0.76329999999999998</v>
          </cell>
        </row>
        <row r="67">
          <cell r="A67" t="str">
            <v>1999-070 G</v>
          </cell>
          <cell r="B67">
            <v>36831</v>
          </cell>
          <cell r="C67">
            <v>0.9506</v>
          </cell>
          <cell r="D67">
            <v>0</v>
          </cell>
          <cell r="E67">
            <v>0</v>
          </cell>
          <cell r="F67">
            <v>0</v>
          </cell>
          <cell r="G67">
            <v>0.9506</v>
          </cell>
        </row>
        <row r="68">
          <cell r="A68" t="str">
            <v>1999-070 H</v>
          </cell>
          <cell r="B68">
            <v>36923</v>
          </cell>
          <cell r="C68">
            <v>1.2250000000000001</v>
          </cell>
          <cell r="D68">
            <v>0</v>
          </cell>
          <cell r="E68">
            <v>0</v>
          </cell>
          <cell r="F68">
            <v>0</v>
          </cell>
          <cell r="G68">
            <v>1.2250000000000001</v>
          </cell>
        </row>
        <row r="69">
          <cell r="A69" t="str">
            <v>1999-070 I</v>
          </cell>
          <cell r="B69">
            <v>36951</v>
          </cell>
          <cell r="C69">
            <v>1.2250000000000001</v>
          </cell>
          <cell r="D69">
            <v>0</v>
          </cell>
          <cell r="E69">
            <v>0</v>
          </cell>
          <cell r="F69">
            <v>0</v>
          </cell>
          <cell r="G69">
            <v>1.2250000000000001</v>
          </cell>
        </row>
        <row r="70">
          <cell r="A70" t="str">
            <v>1999-070 J</v>
          </cell>
          <cell r="B70">
            <v>36982</v>
          </cell>
          <cell r="C70">
            <v>1.2250000000000001</v>
          </cell>
          <cell r="D70">
            <v>0</v>
          </cell>
          <cell r="E70">
            <v>0</v>
          </cell>
          <cell r="F70">
            <v>0</v>
          </cell>
          <cell r="G70">
            <v>1.2250000000000001</v>
          </cell>
        </row>
        <row r="71">
          <cell r="A71" t="str">
            <v>1999-070 K</v>
          </cell>
          <cell r="B71">
            <v>37012</v>
          </cell>
          <cell r="C71">
            <v>1.0611999999999999</v>
          </cell>
          <cell r="D71">
            <v>0</v>
          </cell>
          <cell r="E71">
            <v>0</v>
          </cell>
          <cell r="F71">
            <v>0</v>
          </cell>
          <cell r="G71">
            <v>1.0611999999999999</v>
          </cell>
        </row>
        <row r="72">
          <cell r="A72" t="str">
            <v>1999-070 L</v>
          </cell>
          <cell r="B72">
            <v>37043</v>
          </cell>
          <cell r="C72">
            <v>1.0611999999999999</v>
          </cell>
          <cell r="D72">
            <v>0</v>
          </cell>
          <cell r="E72">
            <v>0</v>
          </cell>
          <cell r="F72">
            <v>0</v>
          </cell>
          <cell r="G72">
            <v>1.0611999999999999</v>
          </cell>
        </row>
        <row r="73">
          <cell r="A73" t="str">
            <v>1999-070 M</v>
          </cell>
          <cell r="B73">
            <v>37073</v>
          </cell>
          <cell r="C73">
            <v>1.0611999999999999</v>
          </cell>
          <cell r="D73">
            <v>0</v>
          </cell>
          <cell r="E73">
            <v>0</v>
          </cell>
          <cell r="F73">
            <v>0</v>
          </cell>
          <cell r="G73">
            <v>1.0611999999999999</v>
          </cell>
        </row>
        <row r="74">
          <cell r="A74" t="str">
            <v>1999-070 N</v>
          </cell>
          <cell r="B74">
            <v>37104</v>
          </cell>
          <cell r="C74">
            <v>1.0611999999999999</v>
          </cell>
          <cell r="D74">
            <v>0</v>
          </cell>
          <cell r="E74">
            <v>0</v>
          </cell>
          <cell r="F74">
            <v>0</v>
          </cell>
          <cell r="G74">
            <v>1.0611999999999999</v>
          </cell>
        </row>
        <row r="75">
          <cell r="A75" t="str">
            <v>1999-070 O</v>
          </cell>
          <cell r="B75">
            <v>37196</v>
          </cell>
          <cell r="C75">
            <v>1.0611999999999999</v>
          </cell>
          <cell r="D75">
            <v>0</v>
          </cell>
          <cell r="E75">
            <v>0</v>
          </cell>
          <cell r="F75">
            <v>0</v>
          </cell>
          <cell r="G75">
            <v>1.0611999999999999</v>
          </cell>
        </row>
        <row r="76">
          <cell r="A76" t="str">
            <v>1999-070 P</v>
          </cell>
          <cell r="B76">
            <v>37288</v>
          </cell>
          <cell r="C76">
            <v>1.0611999999999999</v>
          </cell>
          <cell r="D76">
            <v>0</v>
          </cell>
          <cell r="E76">
            <v>0</v>
          </cell>
          <cell r="F76">
            <v>0</v>
          </cell>
          <cell r="G76">
            <v>1.0611999999999999</v>
          </cell>
        </row>
        <row r="77">
          <cell r="A77" t="str">
            <v>2002-00113</v>
          </cell>
          <cell r="B77">
            <v>37377</v>
          </cell>
          <cell r="C77">
            <v>1.0611999999999999</v>
          </cell>
          <cell r="D77">
            <v>0</v>
          </cell>
          <cell r="E77">
            <v>0</v>
          </cell>
          <cell r="F77">
            <v>0</v>
          </cell>
          <cell r="G77">
            <v>1.0611999999999999</v>
          </cell>
        </row>
        <row r="78">
          <cell r="A78" t="str">
            <v>2002-00251</v>
          </cell>
          <cell r="B78">
            <v>37469</v>
          </cell>
          <cell r="C78">
            <v>1.0611999999999999</v>
          </cell>
          <cell r="D78">
            <v>0</v>
          </cell>
          <cell r="E78">
            <v>0</v>
          </cell>
          <cell r="F78">
            <v>-9.4000000000000004E-3</v>
          </cell>
          <cell r="G78">
            <v>1.0518000000000001</v>
          </cell>
        </row>
        <row r="79">
          <cell r="A79" t="str">
            <v>2002-00359</v>
          </cell>
          <cell r="B79">
            <v>37561</v>
          </cell>
          <cell r="C79">
            <v>0.96189999999999998</v>
          </cell>
          <cell r="D79">
            <v>0</v>
          </cell>
          <cell r="E79">
            <v>0</v>
          </cell>
          <cell r="F79">
            <v>-0.157</v>
          </cell>
          <cell r="G79">
            <v>0.80489999999999995</v>
          </cell>
        </row>
        <row r="80">
          <cell r="A80" t="str">
            <v>2003-00002</v>
          </cell>
          <cell r="B80">
            <v>37653</v>
          </cell>
          <cell r="C80">
            <v>1.0845</v>
          </cell>
          <cell r="D80">
            <v>0</v>
          </cell>
          <cell r="E80">
            <v>0</v>
          </cell>
          <cell r="F80">
            <v>-0.157</v>
          </cell>
          <cell r="G80">
            <v>0.92749999999999999</v>
          </cell>
        </row>
        <row r="81">
          <cell r="A81" t="str">
            <v>2003-00083</v>
          </cell>
          <cell r="B81">
            <v>37713</v>
          </cell>
          <cell r="C81">
            <v>1.0845</v>
          </cell>
          <cell r="D81">
            <v>0</v>
          </cell>
          <cell r="E81">
            <v>0</v>
          </cell>
          <cell r="F81">
            <v>-0.157</v>
          </cell>
          <cell r="G81">
            <v>0.92749999999999999</v>
          </cell>
        </row>
        <row r="82">
          <cell r="A82" t="str">
            <v>2003-00126</v>
          </cell>
          <cell r="B82">
            <v>37742</v>
          </cell>
          <cell r="C82">
            <v>1.0845</v>
          </cell>
          <cell r="D82">
            <v>0</v>
          </cell>
          <cell r="E82">
            <v>0</v>
          </cell>
          <cell r="F82">
            <v>-0.157</v>
          </cell>
          <cell r="G82">
            <v>0.92749999999999999</v>
          </cell>
        </row>
        <row r="83">
          <cell r="A83" t="str">
            <v>2003-00258</v>
          </cell>
          <cell r="B83">
            <v>37834</v>
          </cell>
          <cell r="C83">
            <v>1.0658000000000001</v>
          </cell>
          <cell r="D83">
            <v>0</v>
          </cell>
          <cell r="E83">
            <v>0</v>
          </cell>
          <cell r="F83">
            <v>-0.14760000000000001</v>
          </cell>
          <cell r="G83">
            <v>0.91820000000000013</v>
          </cell>
        </row>
        <row r="84">
          <cell r="A84" t="str">
            <v>2003-00377</v>
          </cell>
          <cell r="B84">
            <v>37926</v>
          </cell>
          <cell r="C84">
            <v>1.0759000000000001</v>
          </cell>
          <cell r="D84">
            <v>0</v>
          </cell>
          <cell r="E84">
            <v>0</v>
          </cell>
          <cell r="F84">
            <v>-0.14760000000000001</v>
          </cell>
          <cell r="G84">
            <v>0.92830000000000001</v>
          </cell>
        </row>
        <row r="85">
          <cell r="A85" t="str">
            <v>2003-00504</v>
          </cell>
          <cell r="B85">
            <v>38018</v>
          </cell>
          <cell r="C85">
            <v>1.0759000000000001</v>
          </cell>
          <cell r="D85">
            <v>0</v>
          </cell>
          <cell r="E85">
            <v>0</v>
          </cell>
          <cell r="F85">
            <v>0</v>
          </cell>
          <cell r="G85">
            <v>1.0759000000000001</v>
          </cell>
        </row>
        <row r="86">
          <cell r="A86" t="str">
            <v>2004-00122</v>
          </cell>
          <cell r="B86">
            <v>38108</v>
          </cell>
          <cell r="C86">
            <v>1.0759000000000001</v>
          </cell>
          <cell r="D86">
            <v>0</v>
          </cell>
          <cell r="E86">
            <v>0</v>
          </cell>
          <cell r="F86">
            <v>0</v>
          </cell>
          <cell r="G86">
            <v>1.0759000000000001</v>
          </cell>
        </row>
        <row r="87">
          <cell r="A87" t="str">
            <v>2004-00269</v>
          </cell>
          <cell r="B87">
            <v>38200</v>
          </cell>
          <cell r="C87">
            <v>1.0759000000000001</v>
          </cell>
          <cell r="D87">
            <v>0</v>
          </cell>
          <cell r="E87">
            <v>0</v>
          </cell>
          <cell r="F87">
            <v>0</v>
          </cell>
          <cell r="G87">
            <v>1.0759000000000001</v>
          </cell>
        </row>
        <row r="88">
          <cell r="A88" t="str">
            <v>2004-00398</v>
          </cell>
          <cell r="B88">
            <v>38292</v>
          </cell>
          <cell r="C88">
            <v>1.0718000000000001</v>
          </cell>
          <cell r="D88">
            <v>0</v>
          </cell>
          <cell r="E88">
            <v>0</v>
          </cell>
          <cell r="F88">
            <v>0</v>
          </cell>
          <cell r="G88">
            <v>1.0718000000000001</v>
          </cell>
        </row>
        <row r="89">
          <cell r="A89" t="str">
            <v>2005-00013</v>
          </cell>
          <cell r="B89">
            <v>38384</v>
          </cell>
          <cell r="C89">
            <v>1.0718000000000001</v>
          </cell>
          <cell r="D89">
            <v>0</v>
          </cell>
          <cell r="E89">
            <v>0</v>
          </cell>
          <cell r="F89">
            <v>0</v>
          </cell>
          <cell r="G89">
            <v>1.0718000000000001</v>
          </cell>
        </row>
        <row r="90">
          <cell r="A90" t="str">
            <v>2005-00139</v>
          </cell>
          <cell r="B90">
            <v>38473</v>
          </cell>
          <cell r="C90">
            <v>1.0718000000000001</v>
          </cell>
          <cell r="D90">
            <v>0</v>
          </cell>
          <cell r="E90">
            <v>0</v>
          </cell>
          <cell r="F90">
            <v>0</v>
          </cell>
          <cell r="G90">
            <v>1.0718000000000001</v>
          </cell>
        </row>
        <row r="91">
          <cell r="A91" t="str">
            <v>2005-00271</v>
          </cell>
          <cell r="B91">
            <v>38565</v>
          </cell>
          <cell r="C91">
            <v>1.0718000000000001</v>
          </cell>
          <cell r="D91">
            <v>0</v>
          </cell>
          <cell r="E91">
            <v>0</v>
          </cell>
          <cell r="F91">
            <v>0</v>
          </cell>
          <cell r="G91">
            <v>1.0718000000000001</v>
          </cell>
        </row>
        <row r="92">
          <cell r="A92" t="str">
            <v>2005-00354</v>
          </cell>
          <cell r="B92">
            <v>38626</v>
          </cell>
          <cell r="C92">
            <v>1.0718000000000001</v>
          </cell>
          <cell r="D92">
            <v>0</v>
          </cell>
          <cell r="E92">
            <v>0</v>
          </cell>
          <cell r="F92">
            <v>0</v>
          </cell>
          <cell r="G92">
            <v>1.0718000000000001</v>
          </cell>
        </row>
        <row r="93">
          <cell r="A93" t="str">
            <v>2005-00399</v>
          </cell>
          <cell r="B93">
            <v>38657</v>
          </cell>
          <cell r="C93">
            <v>1.0718000000000001</v>
          </cell>
          <cell r="D93">
            <v>0</v>
          </cell>
          <cell r="E93">
            <v>0</v>
          </cell>
          <cell r="F93">
            <v>0</v>
          </cell>
          <cell r="G93">
            <v>1.0718000000000001</v>
          </cell>
        </row>
        <row r="94">
          <cell r="A94" t="str">
            <v>2005-00552</v>
          </cell>
          <cell r="B94">
            <v>2224</v>
          </cell>
          <cell r="C94">
            <v>1.2622</v>
          </cell>
          <cell r="D94">
            <v>0</v>
          </cell>
          <cell r="E94">
            <v>0</v>
          </cell>
          <cell r="F94">
            <v>0</v>
          </cell>
          <cell r="G94">
            <v>1.2622</v>
          </cell>
        </row>
        <row r="95">
          <cell r="A95" t="str">
            <v>2006-00135</v>
          </cell>
          <cell r="B95">
            <v>2313</v>
          </cell>
          <cell r="C95">
            <v>1.0571999999999999</v>
          </cell>
          <cell r="D95">
            <v>0</v>
          </cell>
          <cell r="E95">
            <v>0</v>
          </cell>
          <cell r="F95">
            <v>0</v>
          </cell>
          <cell r="G95">
            <v>1.0571999999999999</v>
          </cell>
        </row>
        <row r="96">
          <cell r="A96" t="str">
            <v>2006-00324</v>
          </cell>
          <cell r="B96">
            <v>38930</v>
          </cell>
          <cell r="C96">
            <v>1.0571999999999999</v>
          </cell>
          <cell r="D96">
            <v>0</v>
          </cell>
          <cell r="E96">
            <v>0</v>
          </cell>
          <cell r="F96">
            <v>0</v>
          </cell>
          <cell r="G96">
            <v>1.0571999999999999</v>
          </cell>
        </row>
        <row r="97">
          <cell r="A97" t="str">
            <v>2006-00428</v>
          </cell>
          <cell r="B97">
            <v>39022</v>
          </cell>
          <cell r="C97">
            <v>1.0571999999999999</v>
          </cell>
          <cell r="D97">
            <v>0</v>
          </cell>
          <cell r="E97">
            <v>0</v>
          </cell>
          <cell r="F97">
            <v>0</v>
          </cell>
          <cell r="G97">
            <v>1.0571999999999999</v>
          </cell>
        </row>
      </sheetData>
      <sheetData sheetId="43">
        <row r="7">
          <cell r="A7" t="str">
            <v>Case No.</v>
          </cell>
          <cell r="B7" t="str">
            <v>Effective</v>
          </cell>
          <cell r="C7" t="str">
            <v>Demand</v>
          </cell>
          <cell r="D7" t="str">
            <v>TOP</v>
          </cell>
          <cell r="E7" t="str">
            <v>Transition</v>
          </cell>
          <cell r="F7" t="str">
            <v>RF</v>
          </cell>
          <cell r="G7" t="str">
            <v>Non-Com</v>
          </cell>
          <cell r="H7" t="str">
            <v>HLF</v>
          </cell>
        </row>
        <row r="8">
          <cell r="A8" t="str">
            <v>95-010</v>
          </cell>
          <cell r="B8">
            <v>34943</v>
          </cell>
          <cell r="C8">
            <v>0.28760000000000002</v>
          </cell>
          <cell r="D8">
            <v>8.2000000000000007E-3</v>
          </cell>
          <cell r="E8">
            <v>0.13819999999999999</v>
          </cell>
          <cell r="F8">
            <v>-0.191</v>
          </cell>
          <cell r="G8">
            <v>0.24299999999999999</v>
          </cell>
          <cell r="H8">
            <v>5.5145</v>
          </cell>
        </row>
        <row r="9">
          <cell r="A9" t="str">
            <v>95-010 A</v>
          </cell>
          <cell r="B9">
            <v>34999</v>
          </cell>
          <cell r="C9" t="str">
            <v>NA</v>
          </cell>
          <cell r="D9" t="str">
            <v>NA</v>
          </cell>
          <cell r="E9" t="str">
            <v>NA</v>
          </cell>
          <cell r="F9" t="str">
            <v>NA</v>
          </cell>
          <cell r="G9" t="str">
            <v>NA</v>
          </cell>
          <cell r="H9" t="str">
            <v>NA</v>
          </cell>
        </row>
        <row r="10">
          <cell r="A10" t="str">
            <v>95-010 B</v>
          </cell>
          <cell r="B10">
            <v>35004</v>
          </cell>
          <cell r="C10">
            <v>0.28760000000000002</v>
          </cell>
          <cell r="D10">
            <v>8.2000000000000007E-3</v>
          </cell>
          <cell r="E10">
            <v>7.7499999999999999E-2</v>
          </cell>
          <cell r="F10">
            <v>-0.14150000000000001</v>
          </cell>
          <cell r="G10">
            <v>0.23180000000000001</v>
          </cell>
          <cell r="H10">
            <v>5.6445999999999996</v>
          </cell>
        </row>
        <row r="11">
          <cell r="A11" t="str">
            <v>95-010 C</v>
          </cell>
          <cell r="B11">
            <v>35034</v>
          </cell>
          <cell r="C11">
            <v>0.28760000000000002</v>
          </cell>
          <cell r="D11">
            <v>8.2000000000000007E-3</v>
          </cell>
          <cell r="E11">
            <v>7.46E-2</v>
          </cell>
          <cell r="F11">
            <v>-0.14219999999999999</v>
          </cell>
          <cell r="G11">
            <v>0.22820000000000001</v>
          </cell>
          <cell r="H11">
            <v>5.6445999999999996</v>
          </cell>
        </row>
        <row r="12">
          <cell r="A12" t="str">
            <v>95-010 D</v>
          </cell>
          <cell r="B12">
            <v>35065</v>
          </cell>
          <cell r="C12">
            <v>0.28760000000000002</v>
          </cell>
          <cell r="D12">
            <v>8.2000000000000007E-3</v>
          </cell>
          <cell r="E12">
            <v>7.46E-2</v>
          </cell>
          <cell r="F12">
            <v>-0.14219999999999999</v>
          </cell>
          <cell r="G12">
            <v>0.22820000000000001</v>
          </cell>
          <cell r="H12">
            <v>5.6445999999999996</v>
          </cell>
        </row>
        <row r="13">
          <cell r="A13" t="str">
            <v>95-010 E</v>
          </cell>
          <cell r="B13">
            <v>35096</v>
          </cell>
          <cell r="C13">
            <v>0.28820000000000001</v>
          </cell>
          <cell r="D13">
            <v>0</v>
          </cell>
          <cell r="E13">
            <v>6.3200000000000006E-2</v>
          </cell>
          <cell r="F13">
            <v>-0.14219999999999999</v>
          </cell>
          <cell r="G13">
            <v>0.20920000000000005</v>
          </cell>
          <cell r="H13">
            <v>5.6570999999999998</v>
          </cell>
        </row>
        <row r="14">
          <cell r="A14" t="str">
            <v>95-010 F</v>
          </cell>
          <cell r="B14">
            <v>35125</v>
          </cell>
          <cell r="C14">
            <v>0.28870000000000001</v>
          </cell>
          <cell r="D14">
            <v>0</v>
          </cell>
          <cell r="E14">
            <v>6.3200000000000006E-2</v>
          </cell>
          <cell r="F14">
            <v>-6.3E-2</v>
          </cell>
          <cell r="G14">
            <v>0.28889999999999999</v>
          </cell>
          <cell r="H14">
            <v>5.6666999999999996</v>
          </cell>
        </row>
        <row r="15">
          <cell r="A15" t="str">
            <v>95-010 G</v>
          </cell>
          <cell r="B15">
            <v>35156</v>
          </cell>
          <cell r="C15">
            <v>0.27360000000000001</v>
          </cell>
          <cell r="D15">
            <v>0</v>
          </cell>
          <cell r="E15">
            <v>6.6400000000000001E-2</v>
          </cell>
          <cell r="F15">
            <v>-3.09E-2</v>
          </cell>
          <cell r="G15">
            <v>0.30910000000000004</v>
          </cell>
          <cell r="H15">
            <v>5.5183</v>
          </cell>
        </row>
        <row r="16">
          <cell r="A16" t="str">
            <v>95-010 H</v>
          </cell>
          <cell r="B16">
            <v>35186</v>
          </cell>
          <cell r="C16">
            <v>0.2432</v>
          </cell>
          <cell r="D16">
            <v>0</v>
          </cell>
          <cell r="E16">
            <v>6.6400000000000001E-2</v>
          </cell>
          <cell r="F16">
            <v>-3.09E-2</v>
          </cell>
          <cell r="G16">
            <v>0.2787</v>
          </cell>
          <cell r="H16">
            <v>4.9048999999999996</v>
          </cell>
        </row>
        <row r="17">
          <cell r="A17" t="str">
            <v>95-010 I</v>
          </cell>
          <cell r="B17">
            <v>35217</v>
          </cell>
          <cell r="C17">
            <v>0.22789999999999999</v>
          </cell>
          <cell r="D17">
            <v>0</v>
          </cell>
          <cell r="E17">
            <v>4.2099999999999999E-2</v>
          </cell>
          <cell r="F17">
            <v>-9.5899999999999999E-2</v>
          </cell>
          <cell r="G17">
            <v>0.17410000000000003</v>
          </cell>
          <cell r="H17">
            <v>4.5968999999999998</v>
          </cell>
        </row>
        <row r="18">
          <cell r="A18" t="str">
            <v>95-010 J</v>
          </cell>
          <cell r="B18">
            <v>35247</v>
          </cell>
          <cell r="C18">
            <v>0.2266</v>
          </cell>
          <cell r="D18">
            <v>0</v>
          </cell>
          <cell r="E18">
            <v>4.3499999999999997E-2</v>
          </cell>
          <cell r="F18">
            <v>-9.8199999999999996E-2</v>
          </cell>
          <cell r="G18">
            <v>0.1719</v>
          </cell>
          <cell r="H18">
            <v>4.5693999999999999</v>
          </cell>
        </row>
        <row r="19">
          <cell r="A19" t="str">
            <v>95-010 K</v>
          </cell>
          <cell r="B19">
            <v>35278</v>
          </cell>
          <cell r="C19">
            <v>0.22600000000000001</v>
          </cell>
          <cell r="D19">
            <v>0</v>
          </cell>
          <cell r="E19">
            <v>4.3499999999999997E-2</v>
          </cell>
          <cell r="F19">
            <v>-9.8199999999999996E-2</v>
          </cell>
          <cell r="G19">
            <v>0.17130000000000001</v>
          </cell>
          <cell r="H19">
            <v>4.5575000000000001</v>
          </cell>
        </row>
        <row r="20">
          <cell r="A20" t="str">
            <v>95-010 L</v>
          </cell>
          <cell r="B20">
            <v>35309</v>
          </cell>
          <cell r="C20">
            <v>0.23350000000000001</v>
          </cell>
          <cell r="D20">
            <v>0</v>
          </cell>
          <cell r="E20">
            <v>4.7500000000000001E-2</v>
          </cell>
          <cell r="F20">
            <v>-6.8000000000000005E-2</v>
          </cell>
          <cell r="G20">
            <v>0.21300000000000002</v>
          </cell>
          <cell r="H20">
            <v>4.7096</v>
          </cell>
        </row>
        <row r="21">
          <cell r="A21" t="str">
            <v>95-010 M</v>
          </cell>
          <cell r="B21">
            <v>35339</v>
          </cell>
          <cell r="C21">
            <v>0.2336</v>
          </cell>
          <cell r="D21">
            <v>0</v>
          </cell>
          <cell r="E21">
            <v>4.99E-2</v>
          </cell>
          <cell r="F21">
            <v>-6.8000000000000005E-2</v>
          </cell>
          <cell r="G21">
            <v>0.21549999999999997</v>
          </cell>
          <cell r="H21">
            <v>4.7243000000000004</v>
          </cell>
        </row>
        <row r="22">
          <cell r="A22" t="str">
            <v>95-010 N</v>
          </cell>
          <cell r="B22">
            <v>35370</v>
          </cell>
          <cell r="C22">
            <v>0.22359999999999999</v>
          </cell>
          <cell r="D22">
            <v>0</v>
          </cell>
          <cell r="E22">
            <v>4.9799999999999997E-2</v>
          </cell>
          <cell r="F22">
            <v>-6.8000000000000005E-2</v>
          </cell>
          <cell r="G22">
            <v>0.2054</v>
          </cell>
          <cell r="H22">
            <v>4.5213999999999999</v>
          </cell>
        </row>
        <row r="23">
          <cell r="A23" t="str">
            <v>95-010 O</v>
          </cell>
          <cell r="B23">
            <v>35400</v>
          </cell>
          <cell r="C23">
            <v>0.21629999999999999</v>
          </cell>
          <cell r="D23">
            <v>0</v>
          </cell>
          <cell r="E23">
            <v>4.9799999999999997E-2</v>
          </cell>
          <cell r="F23">
            <v>-6.7299999999999999E-2</v>
          </cell>
          <cell r="G23">
            <v>0.1988</v>
          </cell>
          <cell r="H23">
            <v>4.375</v>
          </cell>
        </row>
        <row r="24">
          <cell r="A24" t="str">
            <v>95-010 P</v>
          </cell>
          <cell r="B24">
            <v>35431</v>
          </cell>
          <cell r="C24">
            <v>0.21629999999999999</v>
          </cell>
          <cell r="D24">
            <v>0</v>
          </cell>
          <cell r="E24">
            <v>6.1899999999999997E-2</v>
          </cell>
          <cell r="F24">
            <v>-6.7299999999999999E-2</v>
          </cell>
          <cell r="G24">
            <v>0.2109</v>
          </cell>
          <cell r="H24">
            <v>4.375</v>
          </cell>
        </row>
        <row r="25">
          <cell r="A25" t="str">
            <v>95-010 Q</v>
          </cell>
          <cell r="B25">
            <v>35462</v>
          </cell>
          <cell r="C25">
            <v>0.21629999999999999</v>
          </cell>
          <cell r="D25">
            <v>0</v>
          </cell>
          <cell r="E25">
            <v>6.1800000000000001E-2</v>
          </cell>
          <cell r="F25">
            <v>-6.7299999999999999E-2</v>
          </cell>
          <cell r="G25">
            <v>0.21079999999999999</v>
          </cell>
          <cell r="H25">
            <v>4.375</v>
          </cell>
        </row>
        <row r="26">
          <cell r="A26" t="str">
            <v>95-010 R</v>
          </cell>
          <cell r="B26">
            <v>35490</v>
          </cell>
          <cell r="C26">
            <v>0.21640000000000001</v>
          </cell>
          <cell r="D26">
            <v>0</v>
          </cell>
          <cell r="E26">
            <v>6.1800000000000001E-2</v>
          </cell>
          <cell r="F26">
            <v>-6.7299999999999999E-2</v>
          </cell>
          <cell r="G26">
            <v>0.2109</v>
          </cell>
          <cell r="H26">
            <v>4.3760000000000003</v>
          </cell>
        </row>
        <row r="27">
          <cell r="A27" t="str">
            <v>95-010 S</v>
          </cell>
          <cell r="B27">
            <v>35521</v>
          </cell>
          <cell r="C27">
            <v>0.2122</v>
          </cell>
          <cell r="D27">
            <v>0</v>
          </cell>
          <cell r="E27">
            <v>6.1800000000000001E-2</v>
          </cell>
          <cell r="F27">
            <v>-6.7299999999999999E-2</v>
          </cell>
          <cell r="G27">
            <v>0.20670000000000002</v>
          </cell>
          <cell r="H27">
            <v>4.2912999999999997</v>
          </cell>
        </row>
        <row r="28">
          <cell r="A28" t="str">
            <v>95-010 T</v>
          </cell>
          <cell r="B28">
            <v>35551</v>
          </cell>
          <cell r="C28">
            <v>0.2122</v>
          </cell>
          <cell r="D28">
            <v>0</v>
          </cell>
          <cell r="E28">
            <v>6.1800000000000001E-2</v>
          </cell>
          <cell r="F28">
            <v>-6.7299999999999999E-2</v>
          </cell>
          <cell r="G28">
            <v>0.20669999999999999</v>
          </cell>
          <cell r="H28">
            <v>4.2912999999999997</v>
          </cell>
        </row>
        <row r="29">
          <cell r="A29" t="str">
            <v>95-010 U</v>
          </cell>
          <cell r="B29">
            <v>35582</v>
          </cell>
          <cell r="C29">
            <v>0.22550000000000001</v>
          </cell>
          <cell r="D29">
            <v>0</v>
          </cell>
          <cell r="E29">
            <v>5.2900000000000003E-2</v>
          </cell>
          <cell r="F29">
            <v>-2.3E-3</v>
          </cell>
          <cell r="G29">
            <v>0.27609999999999996</v>
          </cell>
          <cell r="H29">
            <v>4.5613000000000001</v>
          </cell>
        </row>
        <row r="30">
          <cell r="A30" t="str">
            <v>95-010 V</v>
          </cell>
          <cell r="B30">
            <v>35612</v>
          </cell>
          <cell r="C30">
            <v>0.22550000000000001</v>
          </cell>
          <cell r="D30">
            <v>0</v>
          </cell>
          <cell r="E30">
            <v>5.2900000000000003E-2</v>
          </cell>
          <cell r="F30">
            <v>-4.8800000000000003E-2</v>
          </cell>
          <cell r="G30">
            <v>0.22959999999999997</v>
          </cell>
          <cell r="H30">
            <v>4.5613000000000001</v>
          </cell>
        </row>
        <row r="31">
          <cell r="A31" t="str">
            <v>95-010 W</v>
          </cell>
          <cell r="B31">
            <v>35643</v>
          </cell>
          <cell r="C31">
            <v>0.2631</v>
          </cell>
          <cell r="D31">
            <v>0</v>
          </cell>
          <cell r="E31">
            <v>5.1999999999999998E-2</v>
          </cell>
          <cell r="F31">
            <v>-4.8800000000000003E-2</v>
          </cell>
          <cell r="G31">
            <v>0.26629999999999998</v>
          </cell>
          <cell r="H31">
            <v>5.3216000000000001</v>
          </cell>
        </row>
        <row r="32">
          <cell r="A32" t="str">
            <v>95-010 X</v>
          </cell>
          <cell r="B32">
            <v>35674</v>
          </cell>
          <cell r="C32">
            <v>0.2225</v>
          </cell>
          <cell r="D32">
            <v>0</v>
          </cell>
          <cell r="E32">
            <v>5.1999999999999998E-2</v>
          </cell>
          <cell r="F32">
            <v>-4.8800000000000003E-2</v>
          </cell>
          <cell r="G32">
            <v>0.22570000000000001</v>
          </cell>
          <cell r="H32">
            <v>4.5003000000000002</v>
          </cell>
        </row>
        <row r="33">
          <cell r="A33" t="str">
            <v>95-010 Y</v>
          </cell>
          <cell r="B33">
            <v>35704</v>
          </cell>
          <cell r="C33">
            <v>0.2225</v>
          </cell>
          <cell r="D33">
            <v>0</v>
          </cell>
          <cell r="E33">
            <v>5.9200000000000003E-2</v>
          </cell>
          <cell r="F33">
            <v>-4.8800000000000003E-2</v>
          </cell>
          <cell r="G33">
            <v>0.2329</v>
          </cell>
          <cell r="H33">
            <v>4.7756999999999996</v>
          </cell>
        </row>
        <row r="34">
          <cell r="A34" t="str">
            <v>95-010 Z</v>
          </cell>
          <cell r="B34">
            <v>35735</v>
          </cell>
          <cell r="C34">
            <v>0.2225</v>
          </cell>
          <cell r="D34">
            <v>0</v>
          </cell>
          <cell r="E34">
            <v>5.9200000000000003E-2</v>
          </cell>
          <cell r="F34">
            <v>-4.8800000000000003E-2</v>
          </cell>
          <cell r="G34">
            <v>0.2329</v>
          </cell>
          <cell r="H34">
            <v>4.7756999999999996</v>
          </cell>
        </row>
        <row r="35">
          <cell r="A35" t="str">
            <v>95-010 AA</v>
          </cell>
          <cell r="B35">
            <v>35765</v>
          </cell>
          <cell r="C35">
            <v>0.2631</v>
          </cell>
          <cell r="D35">
            <v>0</v>
          </cell>
          <cell r="E35">
            <v>5.9200000000000003E-2</v>
          </cell>
          <cell r="F35">
            <v>-4.8800000000000003E-2</v>
          </cell>
          <cell r="G35">
            <v>0.27350000000000002</v>
          </cell>
          <cell r="H35">
            <v>5.6473000000000004</v>
          </cell>
        </row>
        <row r="36">
          <cell r="A36" t="str">
            <v>95-010 BB</v>
          </cell>
          <cell r="B36">
            <v>35796</v>
          </cell>
          <cell r="C36">
            <v>0.2631</v>
          </cell>
          <cell r="D36">
            <v>0</v>
          </cell>
          <cell r="E36">
            <v>5.9200000000000003E-2</v>
          </cell>
          <cell r="F36">
            <v>-4.8800000000000003E-2</v>
          </cell>
          <cell r="G36">
            <v>0.27350000000000002</v>
          </cell>
          <cell r="H36">
            <v>5.6473000000000004</v>
          </cell>
        </row>
        <row r="37">
          <cell r="A37" t="str">
            <v>95-010 CC</v>
          </cell>
          <cell r="B37">
            <v>35827</v>
          </cell>
          <cell r="C37">
            <v>0.2631</v>
          </cell>
          <cell r="D37">
            <v>0</v>
          </cell>
          <cell r="E37">
            <v>5.9200000000000003E-2</v>
          </cell>
          <cell r="F37">
            <v>-4.8800000000000003E-2</v>
          </cell>
          <cell r="G37">
            <v>0.27350000000000002</v>
          </cell>
          <cell r="H37">
            <v>5.6473000000000004</v>
          </cell>
        </row>
        <row r="38">
          <cell r="A38" t="str">
            <v>95-010 DD</v>
          </cell>
          <cell r="B38">
            <v>35855</v>
          </cell>
          <cell r="C38">
            <v>0.23119999999999999</v>
          </cell>
          <cell r="D38">
            <v>0</v>
          </cell>
          <cell r="E38">
            <v>3.09E-2</v>
          </cell>
          <cell r="F38">
            <v>-4.8800000000000003E-2</v>
          </cell>
          <cell r="G38">
            <v>0.21329999999999999</v>
          </cell>
          <cell r="H38">
            <v>4.9629000000000003</v>
          </cell>
        </row>
        <row r="39">
          <cell r="A39" t="str">
            <v>95-010 EE</v>
          </cell>
          <cell r="B39">
            <v>35886</v>
          </cell>
          <cell r="C39">
            <v>0.21690000000000001</v>
          </cell>
          <cell r="D39">
            <v>0</v>
          </cell>
          <cell r="E39">
            <v>1.8599999999999998E-2</v>
          </cell>
          <cell r="F39">
            <v>-4.8800000000000003E-2</v>
          </cell>
          <cell r="G39">
            <v>0.1867</v>
          </cell>
          <cell r="H39">
            <v>4.6555999999999997</v>
          </cell>
        </row>
        <row r="40">
          <cell r="A40" t="str">
            <v>95-010 FF</v>
          </cell>
          <cell r="B40">
            <v>35916</v>
          </cell>
          <cell r="C40">
            <v>0.21690000000000001</v>
          </cell>
          <cell r="D40">
            <v>0</v>
          </cell>
          <cell r="E40">
            <v>1.8599999999999998E-2</v>
          </cell>
          <cell r="F40">
            <v>-4.8800000000000003E-2</v>
          </cell>
          <cell r="G40">
            <v>0.1867</v>
          </cell>
          <cell r="H40">
            <v>4.6555999999999997</v>
          </cell>
        </row>
        <row r="41">
          <cell r="A41" t="str">
            <v>95-010 GG</v>
          </cell>
          <cell r="B41">
            <v>35947</v>
          </cell>
          <cell r="C41">
            <v>0.21690000000000001</v>
          </cell>
          <cell r="D41">
            <v>0</v>
          </cell>
          <cell r="E41">
            <v>1.8599999999999998E-2</v>
          </cell>
          <cell r="F41">
            <v>0</v>
          </cell>
          <cell r="G41">
            <v>0.23550000000000001</v>
          </cell>
          <cell r="H41">
            <v>4.6555999999999997</v>
          </cell>
        </row>
        <row r="42">
          <cell r="A42" t="str">
            <v>95-010 HH</v>
          </cell>
          <cell r="B42">
            <v>35977</v>
          </cell>
          <cell r="C42">
            <v>0.21690000000000001</v>
          </cell>
          <cell r="D42">
            <v>0</v>
          </cell>
          <cell r="E42">
            <v>1.8599999999999998E-2</v>
          </cell>
          <cell r="F42">
            <v>-2.9999999999999996E-3</v>
          </cell>
          <cell r="G42">
            <v>0.23250000000000001</v>
          </cell>
          <cell r="H42">
            <v>4.6555999999999997</v>
          </cell>
        </row>
        <row r="43">
          <cell r="A43" t="str">
            <v>95-010 II</v>
          </cell>
          <cell r="B43">
            <v>36008</v>
          </cell>
          <cell r="C43">
            <v>0.21690000000000001</v>
          </cell>
          <cell r="D43">
            <v>0</v>
          </cell>
          <cell r="E43">
            <v>1.8599999999999998E-2</v>
          </cell>
          <cell r="F43">
            <v>-2.9999999999999996E-3</v>
          </cell>
          <cell r="G43">
            <v>0.23250000000000001</v>
          </cell>
          <cell r="H43">
            <v>4.6555999999999997</v>
          </cell>
        </row>
        <row r="44">
          <cell r="A44" t="str">
            <v>95-010 JJ</v>
          </cell>
          <cell r="B44">
            <v>36039</v>
          </cell>
          <cell r="C44">
            <v>0.21690000000000001</v>
          </cell>
          <cell r="D44">
            <v>0</v>
          </cell>
          <cell r="E44">
            <v>1.8599999999999998E-2</v>
          </cell>
          <cell r="F44">
            <v>-2.9999999999999996E-3</v>
          </cell>
          <cell r="G44">
            <v>0.23250000000000001</v>
          </cell>
          <cell r="H44">
            <v>4.6555999999999997</v>
          </cell>
        </row>
        <row r="45">
          <cell r="A45" t="str">
            <v>95-010 KK</v>
          </cell>
          <cell r="B45">
            <v>36069</v>
          </cell>
          <cell r="C45">
            <v>0.21690000000000001</v>
          </cell>
          <cell r="D45">
            <v>0</v>
          </cell>
          <cell r="E45">
            <v>1.8599999999999998E-2</v>
          </cell>
          <cell r="F45">
            <v>-2.9999999999999996E-3</v>
          </cell>
          <cell r="G45">
            <v>0.23250000000000001</v>
          </cell>
          <cell r="H45">
            <v>4.6555999999999997</v>
          </cell>
        </row>
        <row r="46">
          <cell r="A46" t="str">
            <v>95-010 LL</v>
          </cell>
          <cell r="B46">
            <v>36100</v>
          </cell>
          <cell r="C46">
            <v>0.19939999999999999</v>
          </cell>
          <cell r="D46">
            <v>0</v>
          </cell>
          <cell r="E46">
            <v>1.8599999999999998E-2</v>
          </cell>
          <cell r="F46">
            <v>-2.9999999999999996E-3</v>
          </cell>
          <cell r="G46">
            <v>0.215</v>
          </cell>
          <cell r="H46">
            <v>4.2808999999999999</v>
          </cell>
        </row>
        <row r="47">
          <cell r="A47" t="str">
            <v>95-010 MM</v>
          </cell>
          <cell r="B47">
            <v>36130</v>
          </cell>
          <cell r="C47">
            <v>0.19939999999999999</v>
          </cell>
          <cell r="D47">
            <v>0</v>
          </cell>
          <cell r="E47">
            <v>1.8599999999999998E-2</v>
          </cell>
          <cell r="F47">
            <v>-2.9999999999999996E-3</v>
          </cell>
          <cell r="G47">
            <v>0.215</v>
          </cell>
          <cell r="H47">
            <v>4.2808999999999999</v>
          </cell>
        </row>
        <row r="48">
          <cell r="A48" t="str">
            <v>95-010 NN</v>
          </cell>
          <cell r="B48">
            <v>36161</v>
          </cell>
          <cell r="C48">
            <v>0.19939999999999999</v>
          </cell>
          <cell r="D48">
            <v>0</v>
          </cell>
          <cell r="E48">
            <v>1.8599999999999998E-2</v>
          </cell>
          <cell r="F48">
            <v>-2.9999999999999996E-3</v>
          </cell>
          <cell r="G48">
            <v>0.215</v>
          </cell>
          <cell r="H48">
            <v>4.2808999999999999</v>
          </cell>
        </row>
        <row r="49">
          <cell r="A49" t="str">
            <v>95-010 OO</v>
          </cell>
          <cell r="B49">
            <v>36192</v>
          </cell>
          <cell r="C49">
            <v>0.19939999999999999</v>
          </cell>
          <cell r="D49">
            <v>0</v>
          </cell>
          <cell r="E49">
            <v>1.8599999999999998E-2</v>
          </cell>
          <cell r="F49">
            <v>-2.9999999999999996E-3</v>
          </cell>
          <cell r="G49">
            <v>0.215</v>
          </cell>
          <cell r="H49">
            <v>4.2808999999999999</v>
          </cell>
        </row>
        <row r="50">
          <cell r="A50" t="str">
            <v>95-010 PP</v>
          </cell>
          <cell r="B50">
            <v>36220</v>
          </cell>
          <cell r="C50">
            <v>0.19939999999999999</v>
          </cell>
          <cell r="D50">
            <v>0</v>
          </cell>
          <cell r="E50">
            <v>1.8599999999999998E-2</v>
          </cell>
          <cell r="F50">
            <v>-2.9999999999999996E-3</v>
          </cell>
          <cell r="G50">
            <v>0.215</v>
          </cell>
          <cell r="H50">
            <v>4.2808999999999999</v>
          </cell>
        </row>
        <row r="51">
          <cell r="A51" t="str">
            <v>95-010 QQ</v>
          </cell>
          <cell r="B51">
            <v>36251</v>
          </cell>
          <cell r="C51">
            <v>0.19939999999999999</v>
          </cell>
          <cell r="D51">
            <v>0</v>
          </cell>
          <cell r="E51">
            <v>1.8599999999999998E-2</v>
          </cell>
          <cell r="F51">
            <v>-4.4200000000000003E-2</v>
          </cell>
          <cell r="G51">
            <v>0.17380000000000001</v>
          </cell>
          <cell r="H51">
            <v>4.2808999999999999</v>
          </cell>
        </row>
        <row r="52">
          <cell r="A52" t="str">
            <v>95-010 RR</v>
          </cell>
          <cell r="B52">
            <v>36281</v>
          </cell>
          <cell r="C52">
            <v>0.19939999999999999</v>
          </cell>
          <cell r="D52">
            <v>0</v>
          </cell>
          <cell r="E52">
            <v>1.8599999999999998E-2</v>
          </cell>
          <cell r="F52">
            <v>-4.4200000000000003E-2</v>
          </cell>
          <cell r="G52">
            <v>0.17380000000000001</v>
          </cell>
          <cell r="H52">
            <v>4.2808999999999999</v>
          </cell>
        </row>
        <row r="53">
          <cell r="A53" t="str">
            <v>95-010 SS</v>
          </cell>
          <cell r="B53">
            <v>36312</v>
          </cell>
          <cell r="C53">
            <v>0.19939999999999999</v>
          </cell>
          <cell r="D53">
            <v>0</v>
          </cell>
          <cell r="E53">
            <v>1.8599999999999998E-2</v>
          </cell>
          <cell r="F53">
            <v>-4.4200000000000003E-2</v>
          </cell>
          <cell r="G53">
            <v>0.17380000000000001</v>
          </cell>
          <cell r="H53">
            <v>4.2808999999999999</v>
          </cell>
        </row>
        <row r="54">
          <cell r="A54" t="str">
            <v>95-010 TT</v>
          </cell>
          <cell r="B54">
            <v>36342</v>
          </cell>
          <cell r="C54">
            <v>0.19939999999999999</v>
          </cell>
          <cell r="D54">
            <v>0</v>
          </cell>
          <cell r="E54">
            <v>1.8599999999999998E-2</v>
          </cell>
          <cell r="F54">
            <v>-4.1200000000000001E-2</v>
          </cell>
          <cell r="G54">
            <v>0.17680000000000001</v>
          </cell>
          <cell r="H54">
            <v>4.2808999999999999</v>
          </cell>
        </row>
        <row r="55">
          <cell r="A55" t="str">
            <v>95-010 UU</v>
          </cell>
          <cell r="B55">
            <v>36373</v>
          </cell>
          <cell r="C55">
            <v>0.19939999999999999</v>
          </cell>
          <cell r="D55">
            <v>0</v>
          </cell>
          <cell r="E55">
            <v>1.8599999999999998E-2</v>
          </cell>
          <cell r="F55">
            <v>-4.1200000000000001E-2</v>
          </cell>
          <cell r="G55">
            <v>0.17680000000000001</v>
          </cell>
          <cell r="H55">
            <v>4.2808999999999999</v>
          </cell>
        </row>
        <row r="56">
          <cell r="A56" t="str">
            <v>95-010 VV</v>
          </cell>
          <cell r="B56">
            <v>36404</v>
          </cell>
          <cell r="C56">
            <v>0.19939999999999999</v>
          </cell>
          <cell r="D56">
            <v>0</v>
          </cell>
          <cell r="E56">
            <v>1.8599999999999998E-2</v>
          </cell>
          <cell r="F56">
            <v>-4.1200000000000001E-2</v>
          </cell>
          <cell r="G56">
            <v>0.17680000000000001</v>
          </cell>
          <cell r="H56">
            <v>4.2808999999999999</v>
          </cell>
        </row>
        <row r="57">
          <cell r="A57" t="str">
            <v>95-010 WW</v>
          </cell>
          <cell r="B57">
            <v>36434</v>
          </cell>
          <cell r="C57">
            <v>0.19939999999999999</v>
          </cell>
          <cell r="D57">
            <v>0</v>
          </cell>
          <cell r="E57">
            <v>1.8599999999999998E-2</v>
          </cell>
          <cell r="F57">
            <v>-4.1200000000000001E-2</v>
          </cell>
          <cell r="G57">
            <v>0.17680000000000001</v>
          </cell>
          <cell r="H57">
            <v>4.2808999999999999</v>
          </cell>
        </row>
        <row r="58">
          <cell r="A58" t="str">
            <v>95-010 XX</v>
          </cell>
          <cell r="B58">
            <v>36465</v>
          </cell>
          <cell r="C58">
            <v>0.20130000000000001</v>
          </cell>
          <cell r="D58">
            <v>0</v>
          </cell>
          <cell r="E58">
            <v>3.0000000000000001E-3</v>
          </cell>
          <cell r="F58">
            <v>-4.1200000000000001E-2</v>
          </cell>
          <cell r="G58">
            <v>0.16310000000000002</v>
          </cell>
          <cell r="H58">
            <v>4.3211000000000004</v>
          </cell>
        </row>
        <row r="59">
          <cell r="A59" t="str">
            <v>95-010 YY</v>
          </cell>
          <cell r="B59">
            <v>36495</v>
          </cell>
          <cell r="C59">
            <v>0.2001</v>
          </cell>
          <cell r="D59">
            <v>0</v>
          </cell>
          <cell r="E59">
            <v>3.0000000000000001E-3</v>
          </cell>
          <cell r="F59">
            <v>-4.1200000000000001E-2</v>
          </cell>
          <cell r="G59">
            <v>0.16189999999999999</v>
          </cell>
          <cell r="H59">
            <v>4.2945000000000002</v>
          </cell>
        </row>
        <row r="60">
          <cell r="A60" t="str">
            <v>99-070</v>
          </cell>
          <cell r="B60">
            <v>36526</v>
          </cell>
          <cell r="C60">
            <v>0.2001</v>
          </cell>
          <cell r="D60">
            <v>0</v>
          </cell>
          <cell r="E60">
            <v>3.0000000000000001E-3</v>
          </cell>
          <cell r="F60">
            <v>-4.1200000000000001E-2</v>
          </cell>
          <cell r="G60">
            <v>0.16189999999999999</v>
          </cell>
          <cell r="H60">
            <v>4.2945000000000002</v>
          </cell>
        </row>
        <row r="61">
          <cell r="A61" t="str">
            <v>99-070 A</v>
          </cell>
          <cell r="B61">
            <v>36557</v>
          </cell>
          <cell r="C61">
            <v>0.20100000000000001</v>
          </cell>
          <cell r="D61">
            <v>0</v>
          </cell>
          <cell r="E61">
            <v>3.0000000000000001E-3</v>
          </cell>
          <cell r="F61">
            <v>-4.1200000000000001E-2</v>
          </cell>
          <cell r="G61">
            <v>0.1628</v>
          </cell>
          <cell r="H61">
            <v>4.3144999999999998</v>
          </cell>
        </row>
        <row r="62">
          <cell r="A62" t="str">
            <v>1999-070 B</v>
          </cell>
          <cell r="B62">
            <v>36617</v>
          </cell>
          <cell r="C62">
            <v>0.20100000000000001</v>
          </cell>
          <cell r="D62">
            <v>0</v>
          </cell>
          <cell r="E62">
            <v>3.0000000000000001E-3</v>
          </cell>
          <cell r="F62">
            <v>0</v>
          </cell>
          <cell r="G62">
            <v>0.20400000000000001</v>
          </cell>
          <cell r="H62">
            <v>4.3144999999999998</v>
          </cell>
        </row>
        <row r="63">
          <cell r="A63" t="str">
            <v>1999-070 C</v>
          </cell>
          <cell r="B63">
            <v>36647</v>
          </cell>
          <cell r="C63">
            <v>0.20100000000000001</v>
          </cell>
          <cell r="D63">
            <v>0</v>
          </cell>
          <cell r="E63">
            <v>3.0000000000000001E-3</v>
          </cell>
          <cell r="F63">
            <v>0</v>
          </cell>
          <cell r="G63">
            <v>0.20400000000000001</v>
          </cell>
          <cell r="H63">
            <v>4.3144999999999998</v>
          </cell>
        </row>
        <row r="64">
          <cell r="A64" t="str">
            <v>1999-070 D</v>
          </cell>
          <cell r="B64">
            <v>36708</v>
          </cell>
          <cell r="C64">
            <v>0.20100000000000001</v>
          </cell>
          <cell r="D64">
            <v>0</v>
          </cell>
          <cell r="E64">
            <v>3.0000000000000001E-3</v>
          </cell>
          <cell r="F64">
            <v>0</v>
          </cell>
          <cell r="G64">
            <v>0.20400000000000001</v>
          </cell>
          <cell r="H64">
            <v>4.3144999999999998</v>
          </cell>
        </row>
        <row r="65">
          <cell r="A65" t="str">
            <v>1999-070 E</v>
          </cell>
          <cell r="B65">
            <v>36739</v>
          </cell>
          <cell r="C65">
            <v>0.20100000000000001</v>
          </cell>
          <cell r="D65">
            <v>0</v>
          </cell>
          <cell r="E65">
            <v>3.0000000000000001E-3</v>
          </cell>
          <cell r="F65">
            <v>0</v>
          </cell>
          <cell r="G65">
            <v>0.20400000000000001</v>
          </cell>
          <cell r="H65">
            <v>4.3144999999999998</v>
          </cell>
        </row>
        <row r="66">
          <cell r="A66" t="str">
            <v>1999-070 F</v>
          </cell>
          <cell r="B66">
            <v>36800</v>
          </cell>
          <cell r="C66">
            <v>0.20100000000000001</v>
          </cell>
          <cell r="D66">
            <v>0</v>
          </cell>
          <cell r="E66">
            <v>3.0000000000000001E-3</v>
          </cell>
          <cell r="F66">
            <v>0</v>
          </cell>
          <cell r="G66">
            <v>0.20400000000000001</v>
          </cell>
          <cell r="H66">
            <v>4.3144999999999998</v>
          </cell>
        </row>
        <row r="67">
          <cell r="A67" t="str">
            <v>1999-070 G</v>
          </cell>
          <cell r="B67">
            <v>36831</v>
          </cell>
          <cell r="C67">
            <v>0.18820000000000001</v>
          </cell>
          <cell r="D67">
            <v>0</v>
          </cell>
          <cell r="E67">
            <v>0</v>
          </cell>
          <cell r="F67">
            <v>0</v>
          </cell>
          <cell r="G67">
            <v>0.18820000000000001</v>
          </cell>
          <cell r="H67">
            <v>4.5294999999999996</v>
          </cell>
        </row>
        <row r="68">
          <cell r="A68" t="str">
            <v>1999-070 H</v>
          </cell>
          <cell r="B68">
            <v>36923</v>
          </cell>
          <cell r="C68">
            <v>0.24249999999999999</v>
          </cell>
          <cell r="D68">
            <v>0</v>
          </cell>
          <cell r="E68">
            <v>0</v>
          </cell>
          <cell r="F68">
            <v>0</v>
          </cell>
          <cell r="G68">
            <v>0.24249999999999999</v>
          </cell>
          <cell r="H68">
            <v>5.8369999999999997</v>
          </cell>
        </row>
        <row r="69">
          <cell r="A69" t="str">
            <v>1999-070 I</v>
          </cell>
          <cell r="B69">
            <v>36951</v>
          </cell>
          <cell r="C69">
            <v>0.24249999999999999</v>
          </cell>
          <cell r="D69">
            <v>0</v>
          </cell>
          <cell r="E69">
            <v>0</v>
          </cell>
          <cell r="F69">
            <v>0</v>
          </cell>
          <cell r="G69">
            <v>0.24249999999999999</v>
          </cell>
          <cell r="H69">
            <v>5.8369999999999997</v>
          </cell>
        </row>
        <row r="70">
          <cell r="A70" t="str">
            <v>1999-070 J</v>
          </cell>
          <cell r="B70">
            <v>36982</v>
          </cell>
          <cell r="C70">
            <v>0.24249999999999999</v>
          </cell>
          <cell r="D70">
            <v>0</v>
          </cell>
          <cell r="E70">
            <v>0</v>
          </cell>
          <cell r="F70">
            <v>0</v>
          </cell>
          <cell r="G70">
            <v>0.24249999999999999</v>
          </cell>
          <cell r="H70">
            <v>5.8369999999999997</v>
          </cell>
        </row>
        <row r="71">
          <cell r="A71" t="str">
            <v>1999-070 K</v>
          </cell>
          <cell r="B71">
            <v>37012</v>
          </cell>
          <cell r="C71">
            <v>0.21010000000000001</v>
          </cell>
          <cell r="D71">
            <v>0</v>
          </cell>
          <cell r="E71">
            <v>0</v>
          </cell>
          <cell r="F71">
            <v>0</v>
          </cell>
          <cell r="G71">
            <v>0.21010000000000001</v>
          </cell>
          <cell r="H71">
            <v>5.0563000000000002</v>
          </cell>
        </row>
        <row r="72">
          <cell r="A72" t="str">
            <v>1999-070 L</v>
          </cell>
          <cell r="B72">
            <v>37043</v>
          </cell>
          <cell r="C72">
            <v>0.21010000000000001</v>
          </cell>
          <cell r="D72">
            <v>0</v>
          </cell>
          <cell r="E72">
            <v>0</v>
          </cell>
          <cell r="F72">
            <v>0</v>
          </cell>
          <cell r="G72">
            <v>0.21010000000000001</v>
          </cell>
          <cell r="H72">
            <v>5.0563000000000002</v>
          </cell>
        </row>
        <row r="73">
          <cell r="A73" t="str">
            <v>1999-070 M</v>
          </cell>
          <cell r="B73">
            <v>37073</v>
          </cell>
          <cell r="C73">
            <v>0.21010000000000001</v>
          </cell>
          <cell r="D73">
            <v>0</v>
          </cell>
          <cell r="E73">
            <v>0</v>
          </cell>
          <cell r="F73">
            <v>0</v>
          </cell>
          <cell r="G73">
            <v>0.21010000000000001</v>
          </cell>
          <cell r="H73">
            <v>5.0563000000000002</v>
          </cell>
        </row>
        <row r="74">
          <cell r="A74" t="str">
            <v>1999-070 N</v>
          </cell>
          <cell r="B74">
            <v>37104</v>
          </cell>
          <cell r="C74">
            <v>0.21010000000000001</v>
          </cell>
          <cell r="D74">
            <v>0</v>
          </cell>
          <cell r="E74">
            <v>0</v>
          </cell>
          <cell r="F74">
            <v>0</v>
          </cell>
          <cell r="G74">
            <v>0.21010000000000001</v>
          </cell>
          <cell r="H74">
            <v>5.0563000000000002</v>
          </cell>
        </row>
        <row r="75">
          <cell r="A75" t="str">
            <v>1999-070 O</v>
          </cell>
          <cell r="B75">
            <v>37196</v>
          </cell>
          <cell r="C75">
            <v>0.21010000000000001</v>
          </cell>
          <cell r="D75">
            <v>0</v>
          </cell>
          <cell r="E75">
            <v>0</v>
          </cell>
          <cell r="F75">
            <v>0</v>
          </cell>
          <cell r="G75">
            <v>0.21010000000000001</v>
          </cell>
          <cell r="H75">
            <v>5.0563000000000002</v>
          </cell>
        </row>
        <row r="76">
          <cell r="A76" t="str">
            <v>1999-070 P</v>
          </cell>
          <cell r="B76">
            <v>37288</v>
          </cell>
          <cell r="C76">
            <v>0.21010000000000001</v>
          </cell>
          <cell r="D76">
            <v>0</v>
          </cell>
          <cell r="E76">
            <v>0</v>
          </cell>
          <cell r="F76">
            <v>0</v>
          </cell>
          <cell r="G76">
            <v>0.21010000000000001</v>
          </cell>
          <cell r="H76">
            <v>5.0563000000000002</v>
          </cell>
        </row>
        <row r="77">
          <cell r="A77" t="str">
            <v>2002-00113</v>
          </cell>
          <cell r="B77">
            <v>37377</v>
          </cell>
          <cell r="C77">
            <v>0.21010000000000001</v>
          </cell>
          <cell r="D77">
            <v>0</v>
          </cell>
          <cell r="E77">
            <v>0</v>
          </cell>
          <cell r="F77">
            <v>0</v>
          </cell>
          <cell r="G77">
            <v>0.21010000000000001</v>
          </cell>
          <cell r="H77">
            <v>5.0563000000000002</v>
          </cell>
        </row>
        <row r="78">
          <cell r="A78" t="str">
            <v>2002-00251</v>
          </cell>
          <cell r="B78">
            <v>37469</v>
          </cell>
          <cell r="C78">
            <v>0.21010000000000001</v>
          </cell>
          <cell r="D78">
            <v>0</v>
          </cell>
          <cell r="E78">
            <v>0</v>
          </cell>
          <cell r="F78">
            <v>-9.4000000000000004E-3</v>
          </cell>
          <cell r="G78">
            <v>0.20069999999999999</v>
          </cell>
          <cell r="H78">
            <v>5.0563000000000002</v>
          </cell>
        </row>
        <row r="79">
          <cell r="A79" t="str">
            <v>2002-00359</v>
          </cell>
          <cell r="B79">
            <v>37561</v>
          </cell>
          <cell r="C79">
            <v>0.19040000000000001</v>
          </cell>
          <cell r="D79">
            <v>0</v>
          </cell>
          <cell r="E79">
            <v>0</v>
          </cell>
          <cell r="F79">
            <v>-0.157</v>
          </cell>
          <cell r="G79">
            <v>3.3400000000000013E-2</v>
          </cell>
          <cell r="H79">
            <v>4.5831999999999997</v>
          </cell>
        </row>
        <row r="80">
          <cell r="A80" t="str">
            <v>2003-00002</v>
          </cell>
          <cell r="B80">
            <v>37653</v>
          </cell>
          <cell r="C80">
            <v>0.19040000000000001</v>
          </cell>
          <cell r="D80">
            <v>0</v>
          </cell>
          <cell r="E80">
            <v>0</v>
          </cell>
          <cell r="F80">
            <v>-0.157</v>
          </cell>
          <cell r="G80">
            <v>3.3400000000000013E-2</v>
          </cell>
          <cell r="H80">
            <v>4.7106000000000003</v>
          </cell>
        </row>
        <row r="81">
          <cell r="A81" t="str">
            <v>2003-00083</v>
          </cell>
          <cell r="B81">
            <v>37713</v>
          </cell>
          <cell r="C81">
            <v>0.19040000000000001</v>
          </cell>
          <cell r="D81">
            <v>0</v>
          </cell>
          <cell r="E81">
            <v>0</v>
          </cell>
          <cell r="F81">
            <v>-0.157</v>
          </cell>
          <cell r="G81">
            <v>3.3400000000000013E-2</v>
          </cell>
          <cell r="H81">
            <v>4.7106000000000003</v>
          </cell>
        </row>
        <row r="82">
          <cell r="A82" t="str">
            <v>2003-00126</v>
          </cell>
          <cell r="B82">
            <v>37742</v>
          </cell>
          <cell r="C82">
            <v>0.19040000000000001</v>
          </cell>
          <cell r="D82">
            <v>0</v>
          </cell>
          <cell r="E82">
            <v>0</v>
          </cell>
          <cell r="F82">
            <v>-0.157</v>
          </cell>
          <cell r="G82">
            <v>3.3400000000000013E-2</v>
          </cell>
          <cell r="H82">
            <v>4.7106000000000003</v>
          </cell>
        </row>
        <row r="83">
          <cell r="A83" t="str">
            <v>2003-00258</v>
          </cell>
          <cell r="B83">
            <v>37834</v>
          </cell>
          <cell r="C83">
            <v>0.18709999999999999</v>
          </cell>
          <cell r="D83">
            <v>0</v>
          </cell>
          <cell r="E83">
            <v>0</v>
          </cell>
          <cell r="F83">
            <v>-0.14760000000000001</v>
          </cell>
          <cell r="G83">
            <v>3.949999999999998E-2</v>
          </cell>
          <cell r="H83">
            <v>4.6295999999999999</v>
          </cell>
        </row>
        <row r="84">
          <cell r="A84" t="str">
            <v>2003-00377</v>
          </cell>
          <cell r="B84">
            <v>37926</v>
          </cell>
          <cell r="C84">
            <v>0.18709999999999999</v>
          </cell>
          <cell r="D84">
            <v>0</v>
          </cell>
          <cell r="E84">
            <v>0</v>
          </cell>
          <cell r="F84">
            <v>-0.14760000000000001</v>
          </cell>
          <cell r="G84">
            <v>3.949999999999998E-2</v>
          </cell>
          <cell r="H84">
            <v>4.6387</v>
          </cell>
        </row>
        <row r="85">
          <cell r="A85" t="str">
            <v>2003-00504</v>
          </cell>
          <cell r="B85">
            <v>38018</v>
          </cell>
          <cell r="C85">
            <v>0.18709999999999999</v>
          </cell>
          <cell r="D85">
            <v>0</v>
          </cell>
          <cell r="E85">
            <v>0</v>
          </cell>
          <cell r="F85">
            <v>0</v>
          </cell>
          <cell r="G85">
            <v>0.18709999999999999</v>
          </cell>
          <cell r="H85">
            <v>4.6387</v>
          </cell>
        </row>
        <row r="86">
          <cell r="A86" t="str">
            <v>2004-00122</v>
          </cell>
          <cell r="B86">
            <v>38108</v>
          </cell>
          <cell r="C86">
            <v>0.18709999999999999</v>
          </cell>
          <cell r="D86">
            <v>0</v>
          </cell>
          <cell r="E86">
            <v>0</v>
          </cell>
          <cell r="F86">
            <v>0</v>
          </cell>
          <cell r="G86">
            <v>0.18709999999999999</v>
          </cell>
          <cell r="H86">
            <v>4.6387</v>
          </cell>
        </row>
        <row r="87">
          <cell r="A87" t="str">
            <v>2004-00269</v>
          </cell>
          <cell r="B87">
            <v>38200</v>
          </cell>
          <cell r="C87">
            <v>0.18709999999999999</v>
          </cell>
          <cell r="D87">
            <v>0</v>
          </cell>
          <cell r="E87">
            <v>0</v>
          </cell>
          <cell r="F87">
            <v>0</v>
          </cell>
          <cell r="G87">
            <v>0.18709999999999999</v>
          </cell>
          <cell r="H87">
            <v>4.6387</v>
          </cell>
        </row>
        <row r="88">
          <cell r="A88" t="str">
            <v>2004-00398</v>
          </cell>
          <cell r="B88">
            <v>38292</v>
          </cell>
          <cell r="C88">
            <v>0.18640000000000001</v>
          </cell>
          <cell r="D88">
            <v>0</v>
          </cell>
          <cell r="E88">
            <v>0</v>
          </cell>
          <cell r="F88">
            <v>0</v>
          </cell>
          <cell r="G88">
            <v>0.18640000000000001</v>
          </cell>
          <cell r="H88">
            <v>4.6207000000000003</v>
          </cell>
        </row>
        <row r="89">
          <cell r="A89" t="str">
            <v>2005-00013</v>
          </cell>
          <cell r="B89">
            <v>38384</v>
          </cell>
          <cell r="C89">
            <v>0.18640000000000001</v>
          </cell>
          <cell r="D89">
            <v>0</v>
          </cell>
          <cell r="E89">
            <v>0</v>
          </cell>
          <cell r="F89">
            <v>0</v>
          </cell>
          <cell r="G89">
            <v>0.18640000000000001</v>
          </cell>
          <cell r="H89">
            <v>4.6207000000000003</v>
          </cell>
        </row>
        <row r="90">
          <cell r="A90" t="str">
            <v>2005-00139</v>
          </cell>
          <cell r="B90">
            <v>38473</v>
          </cell>
          <cell r="C90">
            <v>0.18640000000000001</v>
          </cell>
          <cell r="D90">
            <v>0</v>
          </cell>
          <cell r="E90">
            <v>0</v>
          </cell>
          <cell r="F90">
            <v>0</v>
          </cell>
          <cell r="G90">
            <v>0.18640000000000001</v>
          </cell>
          <cell r="H90">
            <v>4.6207000000000003</v>
          </cell>
        </row>
        <row r="91">
          <cell r="A91" t="str">
            <v>2005-00271</v>
          </cell>
          <cell r="B91">
            <v>38565</v>
          </cell>
          <cell r="C91">
            <v>0.18640000000000001</v>
          </cell>
          <cell r="D91">
            <v>0</v>
          </cell>
          <cell r="E91">
            <v>0</v>
          </cell>
          <cell r="F91">
            <v>0</v>
          </cell>
          <cell r="G91">
            <v>0.18640000000000001</v>
          </cell>
          <cell r="H91">
            <v>4.6207000000000003</v>
          </cell>
        </row>
        <row r="92">
          <cell r="A92" t="str">
            <v>2005-00354</v>
          </cell>
          <cell r="B92">
            <v>38626</v>
          </cell>
          <cell r="C92">
            <v>0.18640000000000001</v>
          </cell>
          <cell r="D92">
            <v>0</v>
          </cell>
          <cell r="E92">
            <v>0</v>
          </cell>
          <cell r="F92">
            <v>0</v>
          </cell>
          <cell r="G92">
            <v>0.18640000000000001</v>
          </cell>
          <cell r="H92">
            <v>4.6207000000000003</v>
          </cell>
        </row>
        <row r="93">
          <cell r="A93" t="str">
            <v>2005-00399</v>
          </cell>
          <cell r="B93">
            <v>38657</v>
          </cell>
          <cell r="C93">
            <v>0.18640000000000001</v>
          </cell>
          <cell r="D93">
            <v>0</v>
          </cell>
          <cell r="E93">
            <v>0</v>
          </cell>
          <cell r="F93">
            <v>0</v>
          </cell>
          <cell r="G93">
            <v>0.18640000000000001</v>
          </cell>
          <cell r="H93">
            <v>4.6207000000000003</v>
          </cell>
        </row>
        <row r="94">
          <cell r="A94" t="str">
            <v>2005-00552</v>
          </cell>
          <cell r="B94">
            <v>2224</v>
          </cell>
          <cell r="C94">
            <v>0.2195</v>
          </cell>
          <cell r="D94">
            <v>0</v>
          </cell>
          <cell r="E94">
            <v>0</v>
          </cell>
          <cell r="F94">
            <v>0</v>
          </cell>
          <cell r="G94">
            <v>0.2195</v>
          </cell>
          <cell r="H94">
            <v>4.6207000000000003</v>
          </cell>
        </row>
        <row r="95">
          <cell r="A95" t="str">
            <v>2006-00135</v>
          </cell>
          <cell r="B95">
            <v>2313</v>
          </cell>
          <cell r="C95">
            <v>0.18390000000000001</v>
          </cell>
          <cell r="D95">
            <v>0</v>
          </cell>
          <cell r="E95">
            <v>0</v>
          </cell>
          <cell r="F95">
            <v>0</v>
          </cell>
          <cell r="G95">
            <v>0.18390000000000001</v>
          </cell>
          <cell r="H95">
            <v>4.5575999999999999</v>
          </cell>
        </row>
        <row r="96">
          <cell r="A96" t="str">
            <v>2006-00324</v>
          </cell>
          <cell r="B96">
            <v>38930</v>
          </cell>
          <cell r="C96">
            <v>0.18390000000000001</v>
          </cell>
          <cell r="D96">
            <v>0</v>
          </cell>
          <cell r="E96">
            <v>0</v>
          </cell>
          <cell r="F96">
            <v>0</v>
          </cell>
          <cell r="G96">
            <v>0.18390000000000001</v>
          </cell>
          <cell r="H96">
            <v>4.5575999999999999</v>
          </cell>
        </row>
        <row r="97">
          <cell r="A97" t="str">
            <v>2006-00428</v>
          </cell>
          <cell r="B97">
            <v>39022</v>
          </cell>
          <cell r="C97">
            <v>0.18390000000000001</v>
          </cell>
          <cell r="D97">
            <v>0</v>
          </cell>
          <cell r="E97">
            <v>0</v>
          </cell>
          <cell r="F97">
            <v>0</v>
          </cell>
          <cell r="G97">
            <v>0.18390000000000001</v>
          </cell>
          <cell r="H97">
            <v>4.5575999999999999</v>
          </cell>
        </row>
      </sheetData>
      <sheetData sheetId="44">
        <row r="7">
          <cell r="A7" t="str">
            <v>Case No.</v>
          </cell>
          <cell r="B7" t="str">
            <v>Effective</v>
          </cell>
          <cell r="C7" t="str">
            <v>TOP</v>
          </cell>
          <cell r="D7" t="str">
            <v>RF</v>
          </cell>
          <cell r="E7" t="str">
            <v>Non-Com</v>
          </cell>
        </row>
        <row r="8">
          <cell r="A8" t="str">
            <v>95-010</v>
          </cell>
          <cell r="B8">
            <v>34943</v>
          </cell>
          <cell r="C8">
            <v>8.2000000000000007E-3</v>
          </cell>
          <cell r="D8">
            <v>-1.5300000000000001E-2</v>
          </cell>
          <cell r="E8">
            <v>-7.1000000000000004E-3</v>
          </cell>
        </row>
        <row r="9">
          <cell r="A9" t="str">
            <v>95-010 A</v>
          </cell>
          <cell r="B9">
            <v>34999</v>
          </cell>
          <cell r="C9" t="str">
            <v>NA</v>
          </cell>
          <cell r="D9" t="str">
            <v>NA</v>
          </cell>
          <cell r="E9" t="str">
            <v>NA</v>
          </cell>
        </row>
        <row r="10">
          <cell r="A10" t="str">
            <v>95-010 B</v>
          </cell>
          <cell r="B10">
            <v>35004</v>
          </cell>
          <cell r="C10">
            <v>8.2000000000000007E-3</v>
          </cell>
          <cell r="D10">
            <v>0</v>
          </cell>
          <cell r="E10">
            <v>8.2000000000000007E-3</v>
          </cell>
        </row>
        <row r="11">
          <cell r="A11" t="str">
            <v>95-010 C</v>
          </cell>
          <cell r="B11">
            <v>35034</v>
          </cell>
          <cell r="C11">
            <v>8.2000000000000007E-3</v>
          </cell>
          <cell r="D11">
            <v>0</v>
          </cell>
          <cell r="E11">
            <v>8.2000000000000007E-3</v>
          </cell>
        </row>
        <row r="12">
          <cell r="A12" t="str">
            <v>95-010 D</v>
          </cell>
          <cell r="B12">
            <v>35065</v>
          </cell>
          <cell r="C12">
            <v>0</v>
          </cell>
          <cell r="D12">
            <v>0</v>
          </cell>
          <cell r="E12">
            <v>0</v>
          </cell>
        </row>
        <row r="13">
          <cell r="A13" t="str">
            <v>95-010 E</v>
          </cell>
          <cell r="B13">
            <v>35096</v>
          </cell>
          <cell r="C13">
            <v>0</v>
          </cell>
          <cell r="D13">
            <v>0</v>
          </cell>
          <cell r="E13">
            <v>0</v>
          </cell>
        </row>
        <row r="14">
          <cell r="A14" t="str">
            <v>95-010 F</v>
          </cell>
          <cell r="B14">
            <v>35125</v>
          </cell>
          <cell r="C14">
            <v>0</v>
          </cell>
          <cell r="D14">
            <v>0</v>
          </cell>
          <cell r="E14">
            <v>0</v>
          </cell>
        </row>
        <row r="15">
          <cell r="A15" t="str">
            <v>95-010 G</v>
          </cell>
          <cell r="B15">
            <v>35156</v>
          </cell>
          <cell r="C15">
            <v>0</v>
          </cell>
          <cell r="D15">
            <v>0</v>
          </cell>
          <cell r="E15">
            <v>0</v>
          </cell>
        </row>
        <row r="16">
          <cell r="A16" t="str">
            <v>95-010 H</v>
          </cell>
          <cell r="B16">
            <v>35186</v>
          </cell>
          <cell r="C16">
            <v>0</v>
          </cell>
          <cell r="D16">
            <v>0</v>
          </cell>
          <cell r="E16">
            <v>0</v>
          </cell>
        </row>
        <row r="17">
          <cell r="A17" t="str">
            <v>95-010 I</v>
          </cell>
          <cell r="B17">
            <v>35217</v>
          </cell>
          <cell r="C17">
            <v>0</v>
          </cell>
          <cell r="D17">
            <v>0</v>
          </cell>
          <cell r="E17">
            <v>0</v>
          </cell>
        </row>
        <row r="18">
          <cell r="A18" t="str">
            <v>95-010 J</v>
          </cell>
          <cell r="B18">
            <v>35247</v>
          </cell>
          <cell r="C18">
            <v>0</v>
          </cell>
          <cell r="D18">
            <v>0</v>
          </cell>
          <cell r="E18">
            <v>0</v>
          </cell>
        </row>
        <row r="19">
          <cell r="A19" t="str">
            <v>95-010 K</v>
          </cell>
          <cell r="B19">
            <v>35278</v>
          </cell>
          <cell r="C19">
            <v>0</v>
          </cell>
          <cell r="D19">
            <v>0</v>
          </cell>
          <cell r="E19">
            <v>0</v>
          </cell>
        </row>
        <row r="20">
          <cell r="A20" t="str">
            <v>95-010 L</v>
          </cell>
          <cell r="B20">
            <v>35309</v>
          </cell>
          <cell r="C20">
            <v>0</v>
          </cell>
          <cell r="D20">
            <v>0</v>
          </cell>
          <cell r="E20">
            <v>0</v>
          </cell>
        </row>
        <row r="21">
          <cell r="A21" t="str">
            <v>95-010 M</v>
          </cell>
          <cell r="B21">
            <v>35339</v>
          </cell>
          <cell r="C21">
            <v>0</v>
          </cell>
          <cell r="D21">
            <v>0</v>
          </cell>
          <cell r="E21">
            <v>0</v>
          </cell>
        </row>
        <row r="22">
          <cell r="A22" t="str">
            <v>95-010 N</v>
          </cell>
          <cell r="B22">
            <v>35370</v>
          </cell>
          <cell r="C22">
            <v>0</v>
          </cell>
          <cell r="D22">
            <v>0</v>
          </cell>
          <cell r="E22">
            <v>0</v>
          </cell>
        </row>
        <row r="23">
          <cell r="A23" t="str">
            <v>95-010 O</v>
          </cell>
          <cell r="B23">
            <v>35400</v>
          </cell>
          <cell r="C23">
            <v>0</v>
          </cell>
          <cell r="D23">
            <v>0</v>
          </cell>
          <cell r="E23">
            <v>0</v>
          </cell>
        </row>
        <row r="24">
          <cell r="A24" t="str">
            <v>95-010 P</v>
          </cell>
          <cell r="B24">
            <v>35431</v>
          </cell>
          <cell r="C24">
            <v>0</v>
          </cell>
          <cell r="D24">
            <v>0</v>
          </cell>
          <cell r="E24">
            <v>0</v>
          </cell>
        </row>
        <row r="25">
          <cell r="A25" t="str">
            <v>95-010 Q</v>
          </cell>
          <cell r="B25">
            <v>35462</v>
          </cell>
          <cell r="C25">
            <v>0</v>
          </cell>
          <cell r="D25">
            <v>0</v>
          </cell>
          <cell r="E25">
            <v>0</v>
          </cell>
        </row>
        <row r="26">
          <cell r="A26" t="str">
            <v>95-010 R</v>
          </cell>
          <cell r="B26">
            <v>35490</v>
          </cell>
          <cell r="C26">
            <v>0</v>
          </cell>
          <cell r="D26">
            <v>0</v>
          </cell>
          <cell r="E26">
            <v>0</v>
          </cell>
        </row>
        <row r="27">
          <cell r="A27" t="str">
            <v>95-010 S</v>
          </cell>
          <cell r="B27">
            <v>35521</v>
          </cell>
          <cell r="C27">
            <v>0</v>
          </cell>
          <cell r="D27">
            <v>0</v>
          </cell>
          <cell r="E27">
            <v>0</v>
          </cell>
        </row>
        <row r="28">
          <cell r="A28" t="str">
            <v>95-010 T</v>
          </cell>
          <cell r="B28">
            <v>35551</v>
          </cell>
          <cell r="C28">
            <v>0</v>
          </cell>
          <cell r="D28">
            <v>0</v>
          </cell>
          <cell r="E28">
            <v>0</v>
          </cell>
        </row>
        <row r="29">
          <cell r="A29" t="str">
            <v>95-010 U</v>
          </cell>
          <cell r="B29">
            <v>35582</v>
          </cell>
          <cell r="C29">
            <v>0</v>
          </cell>
          <cell r="D29">
            <v>0</v>
          </cell>
          <cell r="E29">
            <v>0</v>
          </cell>
        </row>
        <row r="30">
          <cell r="A30" t="str">
            <v>95-010 V</v>
          </cell>
          <cell r="B30">
            <v>35612</v>
          </cell>
          <cell r="C30">
            <v>0</v>
          </cell>
          <cell r="D30">
            <v>0</v>
          </cell>
          <cell r="E30">
            <v>0</v>
          </cell>
        </row>
        <row r="31">
          <cell r="A31" t="str">
            <v>95-010 W</v>
          </cell>
          <cell r="B31">
            <v>35643</v>
          </cell>
          <cell r="C31">
            <v>0</v>
          </cell>
          <cell r="D31">
            <v>0</v>
          </cell>
          <cell r="E31">
            <v>0</v>
          </cell>
        </row>
        <row r="32">
          <cell r="A32" t="str">
            <v>95-010 X</v>
          </cell>
          <cell r="B32">
            <v>35674</v>
          </cell>
          <cell r="C32">
            <v>0</v>
          </cell>
          <cell r="D32">
            <v>0</v>
          </cell>
          <cell r="E32">
            <v>0</v>
          </cell>
        </row>
        <row r="33">
          <cell r="A33" t="str">
            <v>95-010 Y</v>
          </cell>
          <cell r="B33">
            <v>35704</v>
          </cell>
          <cell r="C33">
            <v>0</v>
          </cell>
          <cell r="D33">
            <v>0</v>
          </cell>
          <cell r="E33">
            <v>0</v>
          </cell>
        </row>
        <row r="34">
          <cell r="A34" t="str">
            <v>95-010 Z</v>
          </cell>
          <cell r="B34">
            <v>35735</v>
          </cell>
          <cell r="C34">
            <v>0</v>
          </cell>
          <cell r="D34">
            <v>0</v>
          </cell>
          <cell r="E34">
            <v>0</v>
          </cell>
        </row>
        <row r="35">
          <cell r="A35" t="str">
            <v>95-010 AA</v>
          </cell>
          <cell r="B35">
            <v>35765</v>
          </cell>
          <cell r="C35">
            <v>0</v>
          </cell>
          <cell r="D35">
            <v>0</v>
          </cell>
          <cell r="E35">
            <v>0</v>
          </cell>
        </row>
        <row r="36">
          <cell r="A36" t="str">
            <v>95-010 BB</v>
          </cell>
          <cell r="B36">
            <v>35796</v>
          </cell>
          <cell r="C36">
            <v>0</v>
          </cell>
          <cell r="D36">
            <v>0</v>
          </cell>
          <cell r="E36">
            <v>0</v>
          </cell>
        </row>
        <row r="37">
          <cell r="A37" t="str">
            <v>95-010 CC</v>
          </cell>
          <cell r="B37">
            <v>35827</v>
          </cell>
          <cell r="C37">
            <v>0</v>
          </cell>
          <cell r="D37">
            <v>0</v>
          </cell>
          <cell r="E37">
            <v>0</v>
          </cell>
        </row>
        <row r="38">
          <cell r="A38" t="str">
            <v>95-010 DD</v>
          </cell>
          <cell r="B38">
            <v>35855</v>
          </cell>
          <cell r="C38">
            <v>0</v>
          </cell>
          <cell r="D38">
            <v>0</v>
          </cell>
          <cell r="E38">
            <v>0</v>
          </cell>
        </row>
        <row r="39">
          <cell r="A39" t="str">
            <v>95-010 EE</v>
          </cell>
          <cell r="B39">
            <v>35886</v>
          </cell>
          <cell r="C39">
            <v>0</v>
          </cell>
          <cell r="D39">
            <v>0</v>
          </cell>
          <cell r="E39">
            <v>0</v>
          </cell>
        </row>
        <row r="40">
          <cell r="A40" t="str">
            <v>95-010 FF</v>
          </cell>
          <cell r="B40">
            <v>35916</v>
          </cell>
          <cell r="C40">
            <v>0</v>
          </cell>
          <cell r="D40">
            <v>0</v>
          </cell>
          <cell r="E40">
            <v>0</v>
          </cell>
        </row>
        <row r="41">
          <cell r="A41" t="str">
            <v>95-010 GG</v>
          </cell>
          <cell r="B41">
            <v>35947</v>
          </cell>
          <cell r="C41">
            <v>0</v>
          </cell>
          <cell r="D41">
            <v>0</v>
          </cell>
          <cell r="E41">
            <v>0</v>
          </cell>
        </row>
        <row r="42">
          <cell r="A42" t="str">
            <v>95-010 HH</v>
          </cell>
          <cell r="B42">
            <v>35977</v>
          </cell>
          <cell r="C42">
            <v>0</v>
          </cell>
          <cell r="D42">
            <v>0</v>
          </cell>
          <cell r="E42">
            <v>0</v>
          </cell>
        </row>
        <row r="43">
          <cell r="A43" t="str">
            <v>95-010 II</v>
          </cell>
          <cell r="B43">
            <v>36008</v>
          </cell>
          <cell r="C43">
            <v>0</v>
          </cell>
          <cell r="D43">
            <v>0</v>
          </cell>
          <cell r="E43">
            <v>0</v>
          </cell>
        </row>
        <row r="44">
          <cell r="A44" t="str">
            <v>95-010 JJ</v>
          </cell>
          <cell r="B44">
            <v>36039</v>
          </cell>
          <cell r="C44">
            <v>0</v>
          </cell>
          <cell r="D44">
            <v>0</v>
          </cell>
          <cell r="E44">
            <v>0</v>
          </cell>
        </row>
        <row r="45">
          <cell r="A45" t="str">
            <v>95-010 KK</v>
          </cell>
          <cell r="B45">
            <v>36069</v>
          </cell>
          <cell r="C45">
            <v>0</v>
          </cell>
          <cell r="D45">
            <v>0</v>
          </cell>
          <cell r="E45">
            <v>0</v>
          </cell>
        </row>
        <row r="46">
          <cell r="A46" t="str">
            <v>95-010 LL</v>
          </cell>
          <cell r="B46">
            <v>36100</v>
          </cell>
          <cell r="C46">
            <v>0</v>
          </cell>
          <cell r="D46">
            <v>0</v>
          </cell>
          <cell r="E46">
            <v>0</v>
          </cell>
        </row>
        <row r="47">
          <cell r="A47" t="str">
            <v>95-010 MM</v>
          </cell>
          <cell r="B47">
            <v>36130</v>
          </cell>
          <cell r="C47">
            <v>0</v>
          </cell>
          <cell r="D47">
            <v>0</v>
          </cell>
          <cell r="E47">
            <v>0</v>
          </cell>
        </row>
        <row r="48">
          <cell r="A48" t="str">
            <v>95-010 NN</v>
          </cell>
          <cell r="B48">
            <v>36161</v>
          </cell>
          <cell r="C48">
            <v>0</v>
          </cell>
          <cell r="D48">
            <v>0</v>
          </cell>
          <cell r="E48">
            <v>0</v>
          </cell>
        </row>
        <row r="49">
          <cell r="A49" t="str">
            <v>95-010 OO</v>
          </cell>
          <cell r="B49">
            <v>36192</v>
          </cell>
          <cell r="C49">
            <v>0</v>
          </cell>
          <cell r="D49">
            <v>0</v>
          </cell>
          <cell r="E49">
            <v>0</v>
          </cell>
        </row>
        <row r="50">
          <cell r="A50" t="str">
            <v>95-010 PP</v>
          </cell>
          <cell r="B50">
            <v>36220</v>
          </cell>
          <cell r="C50">
            <v>0</v>
          </cell>
          <cell r="D50">
            <v>0</v>
          </cell>
          <cell r="E50">
            <v>0</v>
          </cell>
        </row>
        <row r="51">
          <cell r="A51" t="str">
            <v>95-010 QQ</v>
          </cell>
          <cell r="B51">
            <v>36251</v>
          </cell>
          <cell r="C51">
            <v>0</v>
          </cell>
          <cell r="D51">
            <v>0</v>
          </cell>
          <cell r="E51">
            <v>0</v>
          </cell>
        </row>
        <row r="52">
          <cell r="A52" t="str">
            <v>95-010 RR</v>
          </cell>
          <cell r="B52">
            <v>36281</v>
          </cell>
          <cell r="C52">
            <v>0</v>
          </cell>
          <cell r="D52">
            <v>0</v>
          </cell>
          <cell r="E52">
            <v>0</v>
          </cell>
        </row>
        <row r="53">
          <cell r="A53" t="str">
            <v>95-010 SS</v>
          </cell>
          <cell r="B53">
            <v>36312</v>
          </cell>
          <cell r="C53">
            <v>0</v>
          </cell>
          <cell r="D53">
            <v>0</v>
          </cell>
          <cell r="E53">
            <v>0</v>
          </cell>
        </row>
        <row r="54">
          <cell r="A54" t="str">
            <v>95-010 TT</v>
          </cell>
          <cell r="B54">
            <v>36342</v>
          </cell>
          <cell r="C54">
            <v>0</v>
          </cell>
          <cell r="D54">
            <v>0</v>
          </cell>
          <cell r="E54">
            <v>0</v>
          </cell>
        </row>
        <row r="55">
          <cell r="A55" t="str">
            <v>95-010 UU</v>
          </cell>
          <cell r="B55">
            <v>36373</v>
          </cell>
          <cell r="C55">
            <v>0</v>
          </cell>
          <cell r="D55">
            <v>0</v>
          </cell>
          <cell r="E55">
            <v>0</v>
          </cell>
        </row>
        <row r="56">
          <cell r="A56" t="str">
            <v>95-010 VV</v>
          </cell>
          <cell r="B56">
            <v>36404</v>
          </cell>
          <cell r="C56">
            <v>0</v>
          </cell>
          <cell r="D56">
            <v>0</v>
          </cell>
          <cell r="E56">
            <v>0</v>
          </cell>
        </row>
        <row r="57">
          <cell r="A57" t="str">
            <v>95-010 WW</v>
          </cell>
          <cell r="B57">
            <v>36434</v>
          </cell>
          <cell r="C57">
            <v>0</v>
          </cell>
          <cell r="D57">
            <v>0</v>
          </cell>
          <cell r="E57">
            <v>0</v>
          </cell>
        </row>
        <row r="58">
          <cell r="A58" t="str">
            <v>95-010 XX</v>
          </cell>
          <cell r="B58">
            <v>36465</v>
          </cell>
          <cell r="C58">
            <v>0</v>
          </cell>
          <cell r="D58">
            <v>0</v>
          </cell>
          <cell r="E58">
            <v>0</v>
          </cell>
        </row>
        <row r="59">
          <cell r="A59" t="str">
            <v>95-010 YY</v>
          </cell>
          <cell r="B59">
            <v>36495</v>
          </cell>
          <cell r="C59">
            <v>0</v>
          </cell>
          <cell r="D59">
            <v>0</v>
          </cell>
          <cell r="E59">
            <v>0</v>
          </cell>
        </row>
        <row r="60">
          <cell r="A60" t="str">
            <v>99-070</v>
          </cell>
          <cell r="B60">
            <v>36526</v>
          </cell>
          <cell r="C60">
            <v>0</v>
          </cell>
          <cell r="D60">
            <v>0</v>
          </cell>
          <cell r="E60">
            <v>0</v>
          </cell>
        </row>
        <row r="61">
          <cell r="A61" t="str">
            <v>99-070 A</v>
          </cell>
          <cell r="B61">
            <v>36557</v>
          </cell>
          <cell r="C61">
            <v>0</v>
          </cell>
          <cell r="D61">
            <v>0</v>
          </cell>
          <cell r="E61">
            <v>0</v>
          </cell>
        </row>
        <row r="62">
          <cell r="A62" t="str">
            <v>1999-070 B</v>
          </cell>
          <cell r="B62">
            <v>36617</v>
          </cell>
          <cell r="C62">
            <v>0</v>
          </cell>
          <cell r="D62">
            <v>0</v>
          </cell>
          <cell r="E62">
            <v>0</v>
          </cell>
        </row>
        <row r="63">
          <cell r="A63" t="str">
            <v>1999-070 C</v>
          </cell>
          <cell r="B63">
            <v>36647</v>
          </cell>
          <cell r="C63">
            <v>0</v>
          </cell>
          <cell r="D63">
            <v>0</v>
          </cell>
          <cell r="E63">
            <v>0</v>
          </cell>
        </row>
        <row r="64">
          <cell r="A64" t="str">
            <v>1999-070 D</v>
          </cell>
          <cell r="B64">
            <v>36708</v>
          </cell>
          <cell r="C64">
            <v>0</v>
          </cell>
          <cell r="D64">
            <v>0</v>
          </cell>
          <cell r="E64">
            <v>0</v>
          </cell>
        </row>
        <row r="65">
          <cell r="A65" t="str">
            <v>1999-070 E</v>
          </cell>
          <cell r="B65">
            <v>36739</v>
          </cell>
          <cell r="C65">
            <v>0</v>
          </cell>
          <cell r="D65">
            <v>0</v>
          </cell>
          <cell r="E65">
            <v>0</v>
          </cell>
        </row>
        <row r="66">
          <cell r="A66" t="str">
            <v>1999-070 F</v>
          </cell>
          <cell r="B66">
            <v>36800</v>
          </cell>
          <cell r="C66">
            <v>0</v>
          </cell>
          <cell r="D66">
            <v>0</v>
          </cell>
          <cell r="E66">
            <v>0</v>
          </cell>
        </row>
        <row r="67">
          <cell r="A67" t="str">
            <v>1999-070 G</v>
          </cell>
          <cell r="B67">
            <v>36831</v>
          </cell>
          <cell r="C67">
            <v>0</v>
          </cell>
          <cell r="D67">
            <v>0</v>
          </cell>
          <cell r="E67">
            <v>0</v>
          </cell>
        </row>
        <row r="68">
          <cell r="A68" t="str">
            <v>1999-070 H</v>
          </cell>
          <cell r="B68">
            <v>36923</v>
          </cell>
          <cell r="C68">
            <v>0</v>
          </cell>
          <cell r="D68">
            <v>0</v>
          </cell>
          <cell r="E68">
            <v>0</v>
          </cell>
        </row>
        <row r="69">
          <cell r="A69" t="str">
            <v>1999-070 I</v>
          </cell>
          <cell r="B69">
            <v>36951</v>
          </cell>
          <cell r="C69">
            <v>0</v>
          </cell>
          <cell r="D69">
            <v>0</v>
          </cell>
          <cell r="E69">
            <v>0</v>
          </cell>
        </row>
        <row r="70">
          <cell r="A70" t="str">
            <v>1999-070 J</v>
          </cell>
          <cell r="B70">
            <v>36982</v>
          </cell>
          <cell r="C70">
            <v>0</v>
          </cell>
          <cell r="D70">
            <v>0</v>
          </cell>
          <cell r="E70">
            <v>0</v>
          </cell>
        </row>
        <row r="71">
          <cell r="A71" t="str">
            <v>1999-070 K</v>
          </cell>
          <cell r="B71">
            <v>37012</v>
          </cell>
          <cell r="C71">
            <v>0</v>
          </cell>
          <cell r="D71">
            <v>0</v>
          </cell>
          <cell r="E71">
            <v>0</v>
          </cell>
        </row>
        <row r="72">
          <cell r="A72" t="str">
            <v>1999-070 L</v>
          </cell>
          <cell r="B72">
            <v>37043</v>
          </cell>
          <cell r="C72">
            <v>0</v>
          </cell>
          <cell r="D72">
            <v>0</v>
          </cell>
          <cell r="E72">
            <v>0</v>
          </cell>
        </row>
        <row r="73">
          <cell r="A73" t="str">
            <v>1999-070 M</v>
          </cell>
          <cell r="B73">
            <v>37073</v>
          </cell>
          <cell r="C73">
            <v>0</v>
          </cell>
          <cell r="D73">
            <v>0</v>
          </cell>
          <cell r="E73">
            <v>0</v>
          </cell>
        </row>
        <row r="74">
          <cell r="A74" t="str">
            <v>1999-070 N</v>
          </cell>
          <cell r="B74">
            <v>37104</v>
          </cell>
          <cell r="C74">
            <v>0</v>
          </cell>
          <cell r="D74">
            <v>0</v>
          </cell>
          <cell r="E74">
            <v>0</v>
          </cell>
        </row>
        <row r="75">
          <cell r="A75" t="str">
            <v>1999-070 O</v>
          </cell>
          <cell r="B75">
            <v>37196</v>
          </cell>
          <cell r="C75">
            <v>0</v>
          </cell>
          <cell r="D75">
            <v>0</v>
          </cell>
          <cell r="E75">
            <v>0</v>
          </cell>
        </row>
        <row r="76">
          <cell r="A76" t="str">
            <v>1999-070 P</v>
          </cell>
          <cell r="B76">
            <v>37288</v>
          </cell>
          <cell r="C76">
            <v>0</v>
          </cell>
          <cell r="D76">
            <v>0</v>
          </cell>
          <cell r="E76">
            <v>0</v>
          </cell>
        </row>
        <row r="77">
          <cell r="A77" t="str">
            <v>2002-00113</v>
          </cell>
          <cell r="B77">
            <v>37377</v>
          </cell>
          <cell r="C77">
            <v>0</v>
          </cell>
          <cell r="D77">
            <v>0</v>
          </cell>
          <cell r="E77">
            <v>0</v>
          </cell>
        </row>
        <row r="78">
          <cell r="A78" t="str">
            <v>2002-00251</v>
          </cell>
          <cell r="B78">
            <v>37469</v>
          </cell>
          <cell r="C78">
            <v>0</v>
          </cell>
          <cell r="D78">
            <v>0</v>
          </cell>
          <cell r="E78">
            <v>0</v>
          </cell>
        </row>
        <row r="79">
          <cell r="A79" t="str">
            <v>2002-00359</v>
          </cell>
          <cell r="B79">
            <v>37561</v>
          </cell>
          <cell r="C79">
            <v>0</v>
          </cell>
          <cell r="D79">
            <v>0</v>
          </cell>
          <cell r="E79">
            <v>0</v>
          </cell>
        </row>
        <row r="80">
          <cell r="A80" t="str">
            <v>2003-00002</v>
          </cell>
          <cell r="B80">
            <v>37653</v>
          </cell>
          <cell r="C80">
            <v>0</v>
          </cell>
          <cell r="D80">
            <v>0</v>
          </cell>
          <cell r="E80">
            <v>0</v>
          </cell>
        </row>
        <row r="81">
          <cell r="A81" t="str">
            <v>2003-00083</v>
          </cell>
          <cell r="B81">
            <v>37713</v>
          </cell>
          <cell r="C81">
            <v>0</v>
          </cell>
          <cell r="D81">
            <v>0</v>
          </cell>
          <cell r="E81">
            <v>0</v>
          </cell>
        </row>
        <row r="82">
          <cell r="A82" t="str">
            <v>2003-00126</v>
          </cell>
          <cell r="B82" t="str">
            <v>05/01/03</v>
          </cell>
          <cell r="C82">
            <v>0</v>
          </cell>
          <cell r="D82">
            <v>0</v>
          </cell>
          <cell r="E82">
            <v>0</v>
          </cell>
        </row>
        <row r="83">
          <cell r="A83" t="str">
            <v>2003-00258</v>
          </cell>
          <cell r="B83">
            <v>37834</v>
          </cell>
          <cell r="C83">
            <v>0</v>
          </cell>
          <cell r="D83">
            <v>0</v>
          </cell>
          <cell r="E83">
            <v>0</v>
          </cell>
        </row>
        <row r="84">
          <cell r="A84" t="str">
            <v>2003-00377</v>
          </cell>
          <cell r="B84">
            <v>37926</v>
          </cell>
          <cell r="C84">
            <v>0</v>
          </cell>
          <cell r="D84">
            <v>0</v>
          </cell>
          <cell r="E84">
            <v>0</v>
          </cell>
        </row>
        <row r="85">
          <cell r="A85" t="str">
            <v>2003-00504</v>
          </cell>
          <cell r="B85">
            <v>38018</v>
          </cell>
          <cell r="C85">
            <v>0</v>
          </cell>
          <cell r="D85">
            <v>0</v>
          </cell>
          <cell r="E85">
            <v>0</v>
          </cell>
        </row>
        <row r="86">
          <cell r="A86" t="str">
            <v>2004-00122</v>
          </cell>
          <cell r="B86">
            <v>38108</v>
          </cell>
          <cell r="C86">
            <v>0</v>
          </cell>
          <cell r="D86">
            <v>0</v>
          </cell>
          <cell r="E86">
            <v>0</v>
          </cell>
        </row>
        <row r="87">
          <cell r="A87" t="str">
            <v>2004-00269</v>
          </cell>
          <cell r="B87">
            <v>38200</v>
          </cell>
          <cell r="C87">
            <v>0</v>
          </cell>
          <cell r="D87">
            <v>0</v>
          </cell>
          <cell r="E87">
            <v>0</v>
          </cell>
        </row>
        <row r="88">
          <cell r="A88" t="str">
            <v>2004-00398</v>
          </cell>
          <cell r="B88">
            <v>38384</v>
          </cell>
          <cell r="C88">
            <v>0</v>
          </cell>
          <cell r="D88">
            <v>0</v>
          </cell>
          <cell r="E88">
            <v>0</v>
          </cell>
        </row>
        <row r="89">
          <cell r="A89" t="str">
            <v>2005-00013</v>
          </cell>
          <cell r="B89">
            <v>38384</v>
          </cell>
          <cell r="C89">
            <v>0</v>
          </cell>
          <cell r="D89">
            <v>0</v>
          </cell>
          <cell r="E89">
            <v>0</v>
          </cell>
        </row>
        <row r="90">
          <cell r="A90" t="str">
            <v>2005-00139</v>
          </cell>
          <cell r="B90">
            <v>38473</v>
          </cell>
          <cell r="C90">
            <v>0</v>
          </cell>
          <cell r="D90">
            <v>0</v>
          </cell>
          <cell r="E90">
            <v>0</v>
          </cell>
        </row>
        <row r="91">
          <cell r="A91" t="str">
            <v>2005-00271</v>
          </cell>
          <cell r="B91">
            <v>38565</v>
          </cell>
          <cell r="C91">
            <v>0</v>
          </cell>
          <cell r="D91">
            <v>0</v>
          </cell>
          <cell r="E91">
            <v>0</v>
          </cell>
        </row>
        <row r="92">
          <cell r="A92" t="str">
            <v>2005-00354</v>
          </cell>
          <cell r="B92">
            <v>38626</v>
          </cell>
          <cell r="C92">
            <v>0</v>
          </cell>
          <cell r="D92">
            <v>0</v>
          </cell>
          <cell r="E92">
            <v>0</v>
          </cell>
        </row>
        <row r="93">
          <cell r="A93" t="str">
            <v>2005-00399</v>
          </cell>
          <cell r="B93">
            <v>2132</v>
          </cell>
          <cell r="C93">
            <v>0</v>
          </cell>
          <cell r="D93">
            <v>0</v>
          </cell>
          <cell r="E93">
            <v>0</v>
          </cell>
        </row>
        <row r="94">
          <cell r="A94" t="str">
            <v>2005-00552</v>
          </cell>
          <cell r="B94">
            <v>2224</v>
          </cell>
          <cell r="C94">
            <v>0</v>
          </cell>
          <cell r="D94">
            <v>0</v>
          </cell>
          <cell r="E94">
            <v>0</v>
          </cell>
        </row>
        <row r="95">
          <cell r="A95" t="str">
            <v>2006-00135</v>
          </cell>
          <cell r="B95">
            <v>2313</v>
          </cell>
          <cell r="C95">
            <v>0</v>
          </cell>
          <cell r="D95">
            <v>0</v>
          </cell>
          <cell r="E95">
            <v>0</v>
          </cell>
        </row>
        <row r="96">
          <cell r="A96" t="str">
            <v>2006-00324</v>
          </cell>
          <cell r="B96">
            <v>2313</v>
          </cell>
          <cell r="C96">
            <v>0</v>
          </cell>
          <cell r="D96">
            <v>0</v>
          </cell>
          <cell r="E96">
            <v>0</v>
          </cell>
        </row>
        <row r="97">
          <cell r="A97" t="str">
            <v>2006-00428</v>
          </cell>
          <cell r="B97">
            <v>2497</v>
          </cell>
          <cell r="C97">
            <v>0</v>
          </cell>
          <cell r="D97">
            <v>0</v>
          </cell>
          <cell r="E97">
            <v>0</v>
          </cell>
        </row>
      </sheetData>
      <sheetData sheetId="45">
        <row r="7">
          <cell r="A7" t="str">
            <v>Case No.</v>
          </cell>
          <cell r="B7" t="str">
            <v>Effective</v>
          </cell>
          <cell r="C7" t="str">
            <v>Demand</v>
          </cell>
          <cell r="D7" t="str">
            <v>TOP</v>
          </cell>
          <cell r="E7" t="str">
            <v>Transition</v>
          </cell>
          <cell r="F7" t="str">
            <v>RF</v>
          </cell>
          <cell r="G7" t="str">
            <v>Non-Com</v>
          </cell>
        </row>
        <row r="8">
          <cell r="A8" t="str">
            <v>95-010</v>
          </cell>
          <cell r="B8">
            <v>34943</v>
          </cell>
          <cell r="C8">
            <v>0.28760000000000002</v>
          </cell>
          <cell r="D8">
            <v>8.2000000000000007E-3</v>
          </cell>
          <cell r="E8">
            <v>0.13819999999999999</v>
          </cell>
          <cell r="F8">
            <v>-5.4400000000000004E-2</v>
          </cell>
          <cell r="G8">
            <v>0.37959999999999999</v>
          </cell>
        </row>
        <row r="9">
          <cell r="A9" t="str">
            <v>95-010 A</v>
          </cell>
          <cell r="B9">
            <v>34999</v>
          </cell>
          <cell r="C9">
            <v>0.28760000000000002</v>
          </cell>
          <cell r="D9">
            <v>8.2000000000000007E-3</v>
          </cell>
          <cell r="E9">
            <v>0.1231</v>
          </cell>
          <cell r="F9">
            <v>-5.4400000000000004E-2</v>
          </cell>
          <cell r="G9">
            <v>0.36449999999999999</v>
          </cell>
        </row>
        <row r="10">
          <cell r="A10" t="str">
            <v>95-010 B</v>
          </cell>
          <cell r="B10">
            <v>35004</v>
          </cell>
          <cell r="C10">
            <v>0.28760000000000002</v>
          </cell>
          <cell r="D10">
            <v>8.2000000000000007E-3</v>
          </cell>
          <cell r="E10">
            <v>7.7499999999999999E-2</v>
          </cell>
          <cell r="F10">
            <v>-3.9100000000000003E-2</v>
          </cell>
          <cell r="G10">
            <v>0.3342</v>
          </cell>
        </row>
        <row r="11">
          <cell r="A11" t="str">
            <v>95-010 C</v>
          </cell>
          <cell r="B11">
            <v>35034</v>
          </cell>
          <cell r="C11">
            <v>0.28760000000000002</v>
          </cell>
          <cell r="D11">
            <v>8.2000000000000007E-3</v>
          </cell>
          <cell r="E11">
            <v>7.46E-2</v>
          </cell>
          <cell r="F11">
            <v>-3.9300000000000002E-2</v>
          </cell>
          <cell r="G11">
            <v>0.33110000000000001</v>
          </cell>
        </row>
        <row r="12">
          <cell r="A12" t="str">
            <v>95-010 D</v>
          </cell>
          <cell r="B12">
            <v>35065</v>
          </cell>
          <cell r="C12">
            <v>0.28410000000000002</v>
          </cell>
          <cell r="D12">
            <v>8.2000000000000007E-3</v>
          </cell>
          <cell r="E12">
            <v>7.46E-2</v>
          </cell>
          <cell r="F12">
            <v>-3.9300000000000002E-2</v>
          </cell>
          <cell r="G12">
            <v>0.3276</v>
          </cell>
        </row>
        <row r="13">
          <cell r="A13" t="str">
            <v>95-010 E</v>
          </cell>
          <cell r="B13">
            <v>35096</v>
          </cell>
          <cell r="C13">
            <v>0.28820000000000001</v>
          </cell>
          <cell r="D13">
            <v>0</v>
          </cell>
          <cell r="E13">
            <v>6.3200000000000006E-2</v>
          </cell>
          <cell r="F13">
            <v>-3.9300000000000002E-2</v>
          </cell>
          <cell r="G13">
            <v>0.31210000000000004</v>
          </cell>
        </row>
        <row r="14">
          <cell r="A14" t="str">
            <v>95-010 F</v>
          </cell>
          <cell r="B14">
            <v>35125</v>
          </cell>
          <cell r="C14">
            <v>0.28870000000000001</v>
          </cell>
          <cell r="D14">
            <v>0</v>
          </cell>
          <cell r="E14">
            <v>6.3200000000000006E-2</v>
          </cell>
          <cell r="F14">
            <v>-1.49E-2</v>
          </cell>
          <cell r="G14">
            <v>0.33699999999999997</v>
          </cell>
        </row>
        <row r="15">
          <cell r="A15" t="str">
            <v>95-010 G</v>
          </cell>
          <cell r="B15">
            <v>35156</v>
          </cell>
          <cell r="C15">
            <v>0.27360000000000001</v>
          </cell>
          <cell r="D15">
            <v>0</v>
          </cell>
          <cell r="E15">
            <v>6.6400000000000001E-2</v>
          </cell>
          <cell r="F15">
            <v>-7.3000000000000001E-3</v>
          </cell>
          <cell r="G15">
            <v>0.33270000000000005</v>
          </cell>
        </row>
        <row r="16">
          <cell r="A16" t="str">
            <v>95-010 H</v>
          </cell>
          <cell r="B16">
            <v>35186</v>
          </cell>
          <cell r="C16">
            <v>0.2432</v>
          </cell>
          <cell r="D16">
            <v>0</v>
          </cell>
          <cell r="E16">
            <v>6.6400000000000001E-2</v>
          </cell>
          <cell r="F16">
            <v>-7.3000000000000001E-3</v>
          </cell>
          <cell r="G16">
            <v>0.30230000000000001</v>
          </cell>
        </row>
        <row r="17">
          <cell r="A17" t="str">
            <v>95-010 I</v>
          </cell>
          <cell r="B17">
            <v>35217</v>
          </cell>
          <cell r="C17">
            <v>0.22789999999999999</v>
          </cell>
          <cell r="D17">
            <v>0</v>
          </cell>
          <cell r="E17">
            <v>4.2099999999999999E-2</v>
          </cell>
          <cell r="F17">
            <v>-2.5000000000000001E-2</v>
          </cell>
          <cell r="G17">
            <v>0.245</v>
          </cell>
        </row>
        <row r="18">
          <cell r="A18" t="str">
            <v>95-010 J</v>
          </cell>
          <cell r="B18">
            <v>35247</v>
          </cell>
          <cell r="C18">
            <v>0.2266</v>
          </cell>
          <cell r="D18">
            <v>0</v>
          </cell>
          <cell r="E18">
            <v>4.3499999999999997E-2</v>
          </cell>
          <cell r="F18">
            <v>-2.5600000000000001E-2</v>
          </cell>
          <cell r="G18">
            <v>0.2445</v>
          </cell>
        </row>
        <row r="19">
          <cell r="A19" t="str">
            <v>95-010 K</v>
          </cell>
          <cell r="B19">
            <v>35278</v>
          </cell>
          <cell r="C19">
            <v>0.22600000000000001</v>
          </cell>
          <cell r="D19">
            <v>0</v>
          </cell>
          <cell r="E19">
            <v>4.3499999999999997E-2</v>
          </cell>
          <cell r="F19">
            <v>-2.5600000000000001E-2</v>
          </cell>
          <cell r="G19">
            <v>0.24390000000000001</v>
          </cell>
        </row>
        <row r="20">
          <cell r="A20" t="str">
            <v>95-010 L</v>
          </cell>
          <cell r="B20">
            <v>35309</v>
          </cell>
          <cell r="C20">
            <v>0.23350000000000001</v>
          </cell>
          <cell r="D20">
            <v>0</v>
          </cell>
          <cell r="E20">
            <v>4.7500000000000001E-2</v>
          </cell>
          <cell r="F20">
            <v>-1.8499999999999999E-2</v>
          </cell>
          <cell r="G20">
            <v>0.26250000000000001</v>
          </cell>
        </row>
        <row r="21">
          <cell r="A21" t="str">
            <v>95-010 M</v>
          </cell>
          <cell r="B21">
            <v>35339</v>
          </cell>
          <cell r="C21">
            <v>0.2336</v>
          </cell>
          <cell r="D21">
            <v>0</v>
          </cell>
          <cell r="E21">
            <v>4.99E-2</v>
          </cell>
          <cell r="F21">
            <v>-1.8499999999999999E-2</v>
          </cell>
          <cell r="G21">
            <v>0.26500000000000001</v>
          </cell>
        </row>
        <row r="22">
          <cell r="A22" t="str">
            <v>95-010 N</v>
          </cell>
          <cell r="B22">
            <v>35370</v>
          </cell>
          <cell r="C22">
            <v>0.22359999999999999</v>
          </cell>
          <cell r="D22">
            <v>0</v>
          </cell>
          <cell r="E22">
            <v>4.9799999999999997E-2</v>
          </cell>
          <cell r="F22">
            <v>-1.8499999999999999E-2</v>
          </cell>
          <cell r="G22">
            <v>0.25490000000000002</v>
          </cell>
        </row>
        <row r="23">
          <cell r="A23" t="str">
            <v>95-010 O</v>
          </cell>
          <cell r="B23">
            <v>35400</v>
          </cell>
          <cell r="C23">
            <v>0.21629999999999999</v>
          </cell>
          <cell r="D23">
            <v>0</v>
          </cell>
          <cell r="E23">
            <v>4.9799999999999997E-2</v>
          </cell>
          <cell r="F23">
            <v>-1.83E-2</v>
          </cell>
          <cell r="G23">
            <v>0.24779999999999999</v>
          </cell>
        </row>
        <row r="24">
          <cell r="A24" t="str">
            <v>95-010 P</v>
          </cell>
          <cell r="B24">
            <v>35431</v>
          </cell>
          <cell r="C24">
            <v>0.21629999999999999</v>
          </cell>
          <cell r="D24">
            <v>0</v>
          </cell>
          <cell r="E24">
            <v>6.1899999999999997E-2</v>
          </cell>
          <cell r="F24">
            <v>-1.83E-2</v>
          </cell>
          <cell r="G24">
            <v>0.25990000000000002</v>
          </cell>
        </row>
        <row r="25">
          <cell r="A25" t="str">
            <v>95-010 Q</v>
          </cell>
          <cell r="B25">
            <v>35462</v>
          </cell>
          <cell r="C25">
            <v>0.21629999999999999</v>
          </cell>
          <cell r="D25">
            <v>0</v>
          </cell>
          <cell r="E25">
            <v>6.1800000000000001E-2</v>
          </cell>
          <cell r="F25">
            <v>-1.83E-2</v>
          </cell>
          <cell r="G25">
            <v>0.25979999999999998</v>
          </cell>
        </row>
        <row r="26">
          <cell r="A26" t="str">
            <v>95-010 R</v>
          </cell>
          <cell r="B26">
            <v>35490</v>
          </cell>
          <cell r="C26">
            <v>0.21640000000000001</v>
          </cell>
          <cell r="D26">
            <v>0</v>
          </cell>
          <cell r="E26">
            <v>6.1800000000000001E-2</v>
          </cell>
          <cell r="F26">
            <v>-1.83E-2</v>
          </cell>
          <cell r="G26">
            <v>0.25990000000000002</v>
          </cell>
        </row>
        <row r="27">
          <cell r="A27" t="str">
            <v>95-010 S</v>
          </cell>
          <cell r="B27">
            <v>35521</v>
          </cell>
          <cell r="C27">
            <v>0.2122</v>
          </cell>
          <cell r="D27">
            <v>0</v>
          </cell>
          <cell r="E27">
            <v>6.1800000000000001E-2</v>
          </cell>
          <cell r="F27">
            <v>-1.83E-2</v>
          </cell>
          <cell r="G27">
            <v>0.25570000000000004</v>
          </cell>
        </row>
        <row r="28">
          <cell r="A28" t="str">
            <v>95-010 T</v>
          </cell>
          <cell r="B28">
            <v>35551</v>
          </cell>
          <cell r="C28">
            <v>0.2122</v>
          </cell>
          <cell r="D28">
            <v>0</v>
          </cell>
          <cell r="E28">
            <v>6.1800000000000001E-2</v>
          </cell>
          <cell r="F28">
            <v>-1.83E-2</v>
          </cell>
          <cell r="G28">
            <v>0.25570000000000004</v>
          </cell>
        </row>
        <row r="29">
          <cell r="A29" t="str">
            <v>95-010 U</v>
          </cell>
          <cell r="B29">
            <v>35582</v>
          </cell>
          <cell r="C29">
            <v>0.22550000000000001</v>
          </cell>
          <cell r="D29">
            <v>0</v>
          </cell>
          <cell r="E29">
            <v>5.2900000000000003E-2</v>
          </cell>
          <cell r="F29">
            <v>-5.9999999999999995E-4</v>
          </cell>
          <cell r="G29">
            <v>0.27779999999999999</v>
          </cell>
        </row>
        <row r="30">
          <cell r="A30" t="str">
            <v>95-010 V</v>
          </cell>
          <cell r="B30">
            <v>35612</v>
          </cell>
          <cell r="C30">
            <v>0.22550000000000001</v>
          </cell>
          <cell r="D30">
            <v>0</v>
          </cell>
          <cell r="E30">
            <v>5.2900000000000003E-2</v>
          </cell>
          <cell r="F30">
            <v>-1.35E-2</v>
          </cell>
          <cell r="G30">
            <v>0.26489999999999997</v>
          </cell>
        </row>
        <row r="31">
          <cell r="A31" t="str">
            <v>95-010 W</v>
          </cell>
          <cell r="B31">
            <v>35643</v>
          </cell>
          <cell r="C31">
            <v>0.2631</v>
          </cell>
          <cell r="D31">
            <v>0</v>
          </cell>
          <cell r="E31">
            <v>5.1999999999999998E-2</v>
          </cell>
          <cell r="F31">
            <v>-1.35E-2</v>
          </cell>
          <cell r="G31">
            <v>0.30159999999999998</v>
          </cell>
        </row>
        <row r="32">
          <cell r="A32" t="str">
            <v>95-010 X</v>
          </cell>
          <cell r="B32">
            <v>35674</v>
          </cell>
          <cell r="C32">
            <v>0.2225</v>
          </cell>
          <cell r="D32">
            <v>0</v>
          </cell>
          <cell r="E32">
            <v>5.1999999999999998E-2</v>
          </cell>
          <cell r="F32">
            <v>-1.35E-2</v>
          </cell>
          <cell r="G32">
            <v>0.26100000000000001</v>
          </cell>
        </row>
        <row r="33">
          <cell r="A33" t="str">
            <v>95-010 Y</v>
          </cell>
          <cell r="B33">
            <v>35704</v>
          </cell>
          <cell r="C33">
            <v>0.2225</v>
          </cell>
          <cell r="D33">
            <v>0</v>
          </cell>
          <cell r="E33">
            <v>5.9200000000000003E-2</v>
          </cell>
          <cell r="F33">
            <v>-1.35E-2</v>
          </cell>
          <cell r="G33">
            <v>0.26819999999999999</v>
          </cell>
        </row>
        <row r="34">
          <cell r="A34" t="str">
            <v>95-010 Z</v>
          </cell>
          <cell r="B34">
            <v>35735</v>
          </cell>
          <cell r="C34">
            <v>0.2225</v>
          </cell>
          <cell r="D34">
            <v>0</v>
          </cell>
          <cell r="E34">
            <v>5.9200000000000003E-2</v>
          </cell>
          <cell r="F34">
            <v>-1.35E-2</v>
          </cell>
          <cell r="G34">
            <v>0.26819999999999999</v>
          </cell>
        </row>
        <row r="35">
          <cell r="A35" t="str">
            <v>95-010 AA</v>
          </cell>
          <cell r="B35">
            <v>35765</v>
          </cell>
          <cell r="C35">
            <v>0.2631</v>
          </cell>
          <cell r="D35">
            <v>0</v>
          </cell>
          <cell r="E35">
            <v>5.9200000000000003E-2</v>
          </cell>
          <cell r="F35">
            <v>-1.35E-2</v>
          </cell>
          <cell r="G35">
            <v>0.30880000000000002</v>
          </cell>
        </row>
        <row r="36">
          <cell r="A36" t="str">
            <v>95-010 BB</v>
          </cell>
          <cell r="B36">
            <v>35796</v>
          </cell>
          <cell r="C36">
            <v>0.2631</v>
          </cell>
          <cell r="D36">
            <v>0</v>
          </cell>
          <cell r="E36">
            <v>5.9200000000000003E-2</v>
          </cell>
          <cell r="F36">
            <v>-1.35E-2</v>
          </cell>
          <cell r="G36">
            <v>0.30880000000000002</v>
          </cell>
        </row>
        <row r="37">
          <cell r="A37" t="str">
            <v>95-010 CC</v>
          </cell>
          <cell r="B37">
            <v>35827</v>
          </cell>
          <cell r="C37">
            <v>0.2631</v>
          </cell>
          <cell r="D37">
            <v>0</v>
          </cell>
          <cell r="E37">
            <v>5.9200000000000003E-2</v>
          </cell>
          <cell r="F37">
            <v>-1.35E-2</v>
          </cell>
          <cell r="G37">
            <v>0.30880000000000002</v>
          </cell>
        </row>
        <row r="38">
          <cell r="A38" t="str">
            <v>95-010 DD</v>
          </cell>
          <cell r="B38">
            <v>35855</v>
          </cell>
          <cell r="C38">
            <v>0.23119999999999999</v>
          </cell>
          <cell r="D38">
            <v>0</v>
          </cell>
          <cell r="E38">
            <v>3.09E-2</v>
          </cell>
          <cell r="F38">
            <v>-1.35E-2</v>
          </cell>
          <cell r="G38">
            <v>0.24859999999999999</v>
          </cell>
        </row>
        <row r="39">
          <cell r="A39" t="str">
            <v>95-010 EE</v>
          </cell>
          <cell r="B39">
            <v>35886</v>
          </cell>
          <cell r="C39">
            <v>0.21690000000000001</v>
          </cell>
          <cell r="D39">
            <v>0</v>
          </cell>
          <cell r="E39">
            <v>1.8599999999999998E-2</v>
          </cell>
          <cell r="F39">
            <v>-1.35E-2</v>
          </cell>
          <cell r="G39">
            <v>0.222</v>
          </cell>
        </row>
        <row r="40">
          <cell r="A40" t="str">
            <v>95-010 FF</v>
          </cell>
          <cell r="B40">
            <v>35916</v>
          </cell>
          <cell r="C40">
            <v>0.21690000000000001</v>
          </cell>
          <cell r="D40">
            <v>0</v>
          </cell>
          <cell r="E40">
            <v>1.8599999999999998E-2</v>
          </cell>
          <cell r="F40">
            <v>-1.35E-2</v>
          </cell>
          <cell r="G40">
            <v>0.222</v>
          </cell>
        </row>
        <row r="41">
          <cell r="A41" t="str">
            <v>95-010 GG</v>
          </cell>
          <cell r="B41">
            <v>35947</v>
          </cell>
          <cell r="C41">
            <v>0.21690000000000001</v>
          </cell>
          <cell r="D41">
            <v>0</v>
          </cell>
          <cell r="E41">
            <v>1.8599999999999998E-2</v>
          </cell>
          <cell r="F41">
            <v>0</v>
          </cell>
          <cell r="G41">
            <v>0.23550000000000001</v>
          </cell>
        </row>
        <row r="42">
          <cell r="A42" t="str">
            <v>95-010 HH</v>
          </cell>
          <cell r="B42">
            <v>35977</v>
          </cell>
          <cell r="C42">
            <v>0.21690000000000001</v>
          </cell>
          <cell r="D42">
            <v>0</v>
          </cell>
          <cell r="E42">
            <v>1.8599999999999998E-2</v>
          </cell>
          <cell r="F42">
            <v>-8.0000000000000004E-4</v>
          </cell>
          <cell r="G42">
            <v>0.23470000000000002</v>
          </cell>
        </row>
        <row r="43">
          <cell r="A43" t="str">
            <v>95-010 II</v>
          </cell>
          <cell r="B43">
            <v>36008</v>
          </cell>
          <cell r="C43">
            <v>0.21690000000000001</v>
          </cell>
          <cell r="D43">
            <v>0</v>
          </cell>
          <cell r="E43">
            <v>1.8599999999999998E-2</v>
          </cell>
          <cell r="F43">
            <v>-8.0000000000000004E-4</v>
          </cell>
          <cell r="G43">
            <v>0.23470000000000002</v>
          </cell>
        </row>
        <row r="44">
          <cell r="A44" t="str">
            <v>95-010 JJ</v>
          </cell>
          <cell r="B44">
            <v>36039</v>
          </cell>
          <cell r="C44">
            <v>0.21690000000000001</v>
          </cell>
          <cell r="D44">
            <v>0</v>
          </cell>
          <cell r="E44">
            <v>1.8599999999999998E-2</v>
          </cell>
          <cell r="F44">
            <v>-8.0000000000000004E-4</v>
          </cell>
          <cell r="G44">
            <v>0.23470000000000002</v>
          </cell>
        </row>
        <row r="45">
          <cell r="A45" t="str">
            <v>95-010 KK</v>
          </cell>
          <cell r="B45">
            <v>36069</v>
          </cell>
          <cell r="C45">
            <v>0.21690000000000001</v>
          </cell>
          <cell r="D45">
            <v>0</v>
          </cell>
          <cell r="E45">
            <v>1.8599999999999998E-2</v>
          </cell>
          <cell r="F45">
            <v>-8.0000000000000004E-4</v>
          </cell>
          <cell r="G45">
            <v>0.23470000000000002</v>
          </cell>
        </row>
        <row r="46">
          <cell r="A46" t="str">
            <v>95-010 LL</v>
          </cell>
          <cell r="B46">
            <v>36100</v>
          </cell>
          <cell r="C46">
            <v>0.19939999999999999</v>
          </cell>
          <cell r="D46">
            <v>0</v>
          </cell>
          <cell r="E46">
            <v>1.8599999999999998E-2</v>
          </cell>
          <cell r="F46">
            <v>-8.0000000000000004E-4</v>
          </cell>
          <cell r="G46">
            <v>0.2172</v>
          </cell>
        </row>
        <row r="47">
          <cell r="A47" t="str">
            <v>95-010 MM</v>
          </cell>
          <cell r="B47">
            <v>36130</v>
          </cell>
          <cell r="C47">
            <v>0.19939999999999999</v>
          </cell>
          <cell r="D47">
            <v>0</v>
          </cell>
          <cell r="E47">
            <v>1.8599999999999998E-2</v>
          </cell>
          <cell r="F47">
            <v>-8.0000000000000004E-4</v>
          </cell>
          <cell r="G47">
            <v>0.2172</v>
          </cell>
        </row>
        <row r="48">
          <cell r="A48" t="str">
            <v>95-010 NN</v>
          </cell>
          <cell r="B48">
            <v>36161</v>
          </cell>
          <cell r="C48">
            <v>0.19939999999999999</v>
          </cell>
          <cell r="D48">
            <v>0</v>
          </cell>
          <cell r="E48">
            <v>1.8599999999999998E-2</v>
          </cell>
          <cell r="F48">
            <v>-8.0000000000000004E-4</v>
          </cell>
          <cell r="G48">
            <v>0.2172</v>
          </cell>
        </row>
        <row r="49">
          <cell r="A49" t="str">
            <v>95-010 OO</v>
          </cell>
          <cell r="B49">
            <v>36192</v>
          </cell>
          <cell r="C49">
            <v>0.19939999999999999</v>
          </cell>
          <cell r="D49">
            <v>0</v>
          </cell>
          <cell r="E49">
            <v>1.8599999999999998E-2</v>
          </cell>
          <cell r="F49">
            <v>-8.0000000000000004E-4</v>
          </cell>
          <cell r="G49">
            <v>0.2172</v>
          </cell>
        </row>
        <row r="50">
          <cell r="A50" t="str">
            <v>95-010 PP</v>
          </cell>
          <cell r="B50">
            <v>36220</v>
          </cell>
          <cell r="C50">
            <v>0.19939999999999999</v>
          </cell>
          <cell r="D50">
            <v>0</v>
          </cell>
          <cell r="E50">
            <v>1.8599999999999998E-2</v>
          </cell>
          <cell r="F50">
            <v>-8.0000000000000004E-4</v>
          </cell>
          <cell r="G50">
            <v>0.2172</v>
          </cell>
        </row>
        <row r="51">
          <cell r="A51" t="str">
            <v>95-010 QQ</v>
          </cell>
          <cell r="B51">
            <v>36251</v>
          </cell>
          <cell r="C51">
            <v>0.19939999999999999</v>
          </cell>
          <cell r="D51">
            <v>0</v>
          </cell>
          <cell r="E51">
            <v>1.8599999999999998E-2</v>
          </cell>
          <cell r="F51">
            <v>-1.1800000000000001E-2</v>
          </cell>
          <cell r="G51">
            <v>0.20619999999999999</v>
          </cell>
        </row>
        <row r="52">
          <cell r="A52" t="str">
            <v>95-010 RR</v>
          </cell>
          <cell r="B52">
            <v>36281</v>
          </cell>
          <cell r="C52">
            <v>0.19939999999999999</v>
          </cell>
          <cell r="D52">
            <v>0</v>
          </cell>
          <cell r="E52">
            <v>1.8599999999999998E-2</v>
          </cell>
          <cell r="F52">
            <v>-1.1800000000000001E-2</v>
          </cell>
          <cell r="G52">
            <v>0.20619999999999999</v>
          </cell>
        </row>
        <row r="53">
          <cell r="A53" t="str">
            <v>95-010 SS</v>
          </cell>
          <cell r="B53">
            <v>36312</v>
          </cell>
          <cell r="C53">
            <v>0.19939999999999999</v>
          </cell>
          <cell r="D53">
            <v>0</v>
          </cell>
          <cell r="E53">
            <v>1.8599999999999998E-2</v>
          </cell>
          <cell r="F53">
            <v>-1.1800000000000001E-2</v>
          </cell>
          <cell r="G53">
            <v>0.20619999999999999</v>
          </cell>
        </row>
        <row r="54">
          <cell r="A54" t="str">
            <v>95-010 TT</v>
          </cell>
          <cell r="B54">
            <v>36342</v>
          </cell>
          <cell r="C54">
            <v>0.19939999999999999</v>
          </cell>
          <cell r="D54">
            <v>0</v>
          </cell>
          <cell r="E54">
            <v>1.8599999999999998E-2</v>
          </cell>
          <cell r="F54">
            <v>-1.1000000000000001E-2</v>
          </cell>
          <cell r="G54">
            <v>0.20699999999999999</v>
          </cell>
        </row>
        <row r="55">
          <cell r="A55" t="str">
            <v>95-010 UU</v>
          </cell>
          <cell r="B55">
            <v>36373</v>
          </cell>
          <cell r="C55">
            <v>0.19939999999999999</v>
          </cell>
          <cell r="D55">
            <v>0</v>
          </cell>
          <cell r="E55">
            <v>1.8599999999999998E-2</v>
          </cell>
          <cell r="F55">
            <v>-1.1000000000000001E-2</v>
          </cell>
          <cell r="G55">
            <v>0.20699999999999999</v>
          </cell>
        </row>
        <row r="56">
          <cell r="A56" t="str">
            <v>95-010 VV</v>
          </cell>
          <cell r="B56">
            <v>36404</v>
          </cell>
          <cell r="C56">
            <v>0.19939999999999999</v>
          </cell>
          <cell r="D56">
            <v>0</v>
          </cell>
          <cell r="E56">
            <v>1.8599999999999998E-2</v>
          </cell>
          <cell r="F56">
            <v>-1.1000000000000001E-2</v>
          </cell>
          <cell r="G56">
            <v>0.20699999999999999</v>
          </cell>
        </row>
        <row r="57">
          <cell r="A57" t="str">
            <v>95-010 WW</v>
          </cell>
          <cell r="B57">
            <v>36434</v>
          </cell>
          <cell r="C57">
            <v>0.19939999999999999</v>
          </cell>
          <cell r="D57">
            <v>0</v>
          </cell>
          <cell r="E57">
            <v>1.8599999999999998E-2</v>
          </cell>
          <cell r="F57">
            <v>-1.1000000000000001E-2</v>
          </cell>
          <cell r="G57">
            <v>0.20699999999999999</v>
          </cell>
        </row>
        <row r="58">
          <cell r="A58" t="str">
            <v>95-010 XX</v>
          </cell>
          <cell r="B58">
            <v>36465</v>
          </cell>
          <cell r="C58">
            <v>0.20130000000000001</v>
          </cell>
          <cell r="D58">
            <v>0</v>
          </cell>
          <cell r="E58">
            <v>3.0000000000000001E-3</v>
          </cell>
          <cell r="F58">
            <v>-1.1000000000000001E-2</v>
          </cell>
          <cell r="G58">
            <v>0.1933</v>
          </cell>
        </row>
        <row r="59">
          <cell r="A59" t="str">
            <v>95-010 YY</v>
          </cell>
          <cell r="B59">
            <v>36495</v>
          </cell>
          <cell r="C59">
            <v>0.2001</v>
          </cell>
          <cell r="D59">
            <v>0</v>
          </cell>
          <cell r="E59">
            <v>3.0000000000000001E-3</v>
          </cell>
          <cell r="F59">
            <v>-1.1000000000000001E-2</v>
          </cell>
          <cell r="G59">
            <v>0.19209999999999999</v>
          </cell>
        </row>
        <row r="60">
          <cell r="A60" t="str">
            <v>99-070</v>
          </cell>
          <cell r="B60">
            <v>36526</v>
          </cell>
          <cell r="C60">
            <v>0.2001</v>
          </cell>
          <cell r="D60">
            <v>0</v>
          </cell>
          <cell r="E60">
            <v>3.0000000000000001E-3</v>
          </cell>
          <cell r="F60">
            <v>-1.1000000000000001E-2</v>
          </cell>
          <cell r="G60">
            <v>0.19209999999999999</v>
          </cell>
        </row>
        <row r="61">
          <cell r="A61" t="str">
            <v>99-070 A</v>
          </cell>
          <cell r="B61">
            <v>36557</v>
          </cell>
          <cell r="C61">
            <v>0.20100000000000001</v>
          </cell>
          <cell r="D61">
            <v>0</v>
          </cell>
          <cell r="E61">
            <v>3.0000000000000001E-3</v>
          </cell>
          <cell r="F61">
            <v>-1.1000000000000001E-2</v>
          </cell>
          <cell r="G61">
            <v>0.193</v>
          </cell>
        </row>
        <row r="62">
          <cell r="A62" t="str">
            <v>1999-070 B</v>
          </cell>
          <cell r="B62">
            <v>36617</v>
          </cell>
          <cell r="C62">
            <v>0.20100000000000001</v>
          </cell>
          <cell r="D62">
            <v>0</v>
          </cell>
          <cell r="E62">
            <v>3.0000000000000001E-3</v>
          </cell>
          <cell r="F62">
            <v>0</v>
          </cell>
          <cell r="G62">
            <v>0.20400000000000001</v>
          </cell>
        </row>
        <row r="63">
          <cell r="A63" t="str">
            <v>1999-070 C</v>
          </cell>
          <cell r="B63">
            <v>36647</v>
          </cell>
          <cell r="C63">
            <v>0.20100000000000001</v>
          </cell>
          <cell r="D63">
            <v>0</v>
          </cell>
          <cell r="E63">
            <v>3.0000000000000001E-3</v>
          </cell>
          <cell r="F63">
            <v>0</v>
          </cell>
          <cell r="G63">
            <v>0.20400000000000001</v>
          </cell>
        </row>
        <row r="64">
          <cell r="A64" t="str">
            <v>1999-070 D</v>
          </cell>
          <cell r="B64">
            <v>36708</v>
          </cell>
          <cell r="C64">
            <v>0.20100000000000001</v>
          </cell>
          <cell r="D64">
            <v>0</v>
          </cell>
          <cell r="E64">
            <v>3.0000000000000001E-3</v>
          </cell>
          <cell r="F64">
            <v>0</v>
          </cell>
          <cell r="G64">
            <v>0.20400000000000001</v>
          </cell>
        </row>
        <row r="65">
          <cell r="A65" t="str">
            <v>1999-070 E</v>
          </cell>
          <cell r="B65">
            <v>36739</v>
          </cell>
          <cell r="C65">
            <v>0.20100000000000001</v>
          </cell>
          <cell r="D65">
            <v>0</v>
          </cell>
          <cell r="E65">
            <v>3.0000000000000001E-3</v>
          </cell>
          <cell r="F65">
            <v>0</v>
          </cell>
          <cell r="G65">
            <v>0.20400000000000001</v>
          </cell>
        </row>
        <row r="66">
          <cell r="A66" t="str">
            <v>1999-070 F</v>
          </cell>
          <cell r="B66">
            <v>36800</v>
          </cell>
          <cell r="C66">
            <v>0.20100000000000001</v>
          </cell>
          <cell r="D66">
            <v>0</v>
          </cell>
          <cell r="E66">
            <v>3.0000000000000001E-3</v>
          </cell>
          <cell r="F66">
            <v>0</v>
          </cell>
          <cell r="G66">
            <v>0.20400000000000001</v>
          </cell>
        </row>
        <row r="67">
          <cell r="A67" t="str">
            <v>1999-070 G</v>
          </cell>
          <cell r="B67">
            <v>36831</v>
          </cell>
          <cell r="C67">
            <v>0.18820000000000001</v>
          </cell>
          <cell r="D67">
            <v>0</v>
          </cell>
          <cell r="E67">
            <v>0</v>
          </cell>
          <cell r="F67">
            <v>0</v>
          </cell>
          <cell r="G67">
            <v>0.18820000000000001</v>
          </cell>
        </row>
        <row r="68">
          <cell r="A68" t="str">
            <v>1999-070 H</v>
          </cell>
          <cell r="B68">
            <v>36923</v>
          </cell>
          <cell r="C68">
            <v>0.24249999999999999</v>
          </cell>
          <cell r="D68">
            <v>0</v>
          </cell>
          <cell r="E68">
            <v>0</v>
          </cell>
          <cell r="F68">
            <v>0</v>
          </cell>
          <cell r="G68">
            <v>0.24249999999999999</v>
          </cell>
        </row>
        <row r="69">
          <cell r="A69" t="str">
            <v>1999-070 I</v>
          </cell>
          <cell r="B69">
            <v>36951</v>
          </cell>
          <cell r="C69">
            <v>0.24249999999999999</v>
          </cell>
          <cell r="D69">
            <v>0</v>
          </cell>
          <cell r="E69">
            <v>0</v>
          </cell>
          <cell r="F69">
            <v>0</v>
          </cell>
          <cell r="G69">
            <v>0.24249999999999999</v>
          </cell>
        </row>
        <row r="70">
          <cell r="A70" t="str">
            <v>1999-070 J</v>
          </cell>
          <cell r="B70">
            <v>36982</v>
          </cell>
          <cell r="C70">
            <v>0.24249999999999999</v>
          </cell>
          <cell r="D70">
            <v>0</v>
          </cell>
          <cell r="E70">
            <v>0</v>
          </cell>
          <cell r="F70">
            <v>0</v>
          </cell>
          <cell r="G70">
            <v>0.24249999999999999</v>
          </cell>
        </row>
        <row r="71">
          <cell r="A71" t="str">
            <v>1999-070 K</v>
          </cell>
          <cell r="B71">
            <v>37012</v>
          </cell>
          <cell r="C71">
            <v>0.21010000000000001</v>
          </cell>
          <cell r="D71">
            <v>0</v>
          </cell>
          <cell r="E71">
            <v>0</v>
          </cell>
          <cell r="F71">
            <v>0</v>
          </cell>
          <cell r="G71">
            <v>0.21010000000000001</v>
          </cell>
        </row>
        <row r="72">
          <cell r="A72" t="str">
            <v>1999-070 L</v>
          </cell>
          <cell r="B72">
            <v>37043</v>
          </cell>
          <cell r="C72">
            <v>0.21010000000000001</v>
          </cell>
          <cell r="D72">
            <v>0</v>
          </cell>
          <cell r="E72">
            <v>0</v>
          </cell>
          <cell r="F72">
            <v>0</v>
          </cell>
          <cell r="G72">
            <v>0.21010000000000001</v>
          </cell>
        </row>
        <row r="73">
          <cell r="A73" t="str">
            <v>1999-070 M</v>
          </cell>
          <cell r="B73">
            <v>37073</v>
          </cell>
          <cell r="C73">
            <v>0.21010000000000001</v>
          </cell>
          <cell r="D73">
            <v>0</v>
          </cell>
          <cell r="E73">
            <v>0</v>
          </cell>
          <cell r="F73">
            <v>0</v>
          </cell>
          <cell r="G73">
            <v>0.21010000000000001</v>
          </cell>
        </row>
        <row r="74">
          <cell r="A74" t="str">
            <v>1999-070 N</v>
          </cell>
          <cell r="B74">
            <v>37104</v>
          </cell>
          <cell r="C74">
            <v>0.21010000000000001</v>
          </cell>
          <cell r="D74">
            <v>0</v>
          </cell>
          <cell r="E74">
            <v>0</v>
          </cell>
          <cell r="F74">
            <v>0</v>
          </cell>
          <cell r="G74">
            <v>0.21010000000000001</v>
          </cell>
        </row>
        <row r="75">
          <cell r="A75" t="str">
            <v>1999-070 O</v>
          </cell>
          <cell r="B75">
            <v>37196</v>
          </cell>
          <cell r="C75">
            <v>0.21010000000000001</v>
          </cell>
          <cell r="D75">
            <v>0</v>
          </cell>
          <cell r="E75">
            <v>0</v>
          </cell>
          <cell r="F75">
            <v>0</v>
          </cell>
          <cell r="G75">
            <v>0.21010000000000001</v>
          </cell>
        </row>
        <row r="76">
          <cell r="A76" t="str">
            <v>1999-070 P</v>
          </cell>
          <cell r="B76">
            <v>37288</v>
          </cell>
          <cell r="C76">
            <v>0.21010000000000001</v>
          </cell>
          <cell r="D76">
            <v>0</v>
          </cell>
          <cell r="E76">
            <v>0</v>
          </cell>
          <cell r="F76">
            <v>0</v>
          </cell>
          <cell r="G76">
            <v>0.21010000000000001</v>
          </cell>
        </row>
        <row r="77">
          <cell r="A77" t="str">
            <v>2002-00113</v>
          </cell>
          <cell r="B77">
            <v>37377</v>
          </cell>
          <cell r="C77">
            <v>0.21010000000000001</v>
          </cell>
          <cell r="D77">
            <v>0</v>
          </cell>
          <cell r="E77">
            <v>0</v>
          </cell>
          <cell r="F77">
            <v>0</v>
          </cell>
          <cell r="G77">
            <v>0.21010000000000001</v>
          </cell>
        </row>
        <row r="78">
          <cell r="A78" t="str">
            <v>2002-00251</v>
          </cell>
          <cell r="B78">
            <v>37469</v>
          </cell>
          <cell r="C78">
            <v>0.21010000000000001</v>
          </cell>
          <cell r="D78">
            <v>0</v>
          </cell>
          <cell r="E78">
            <v>0</v>
          </cell>
          <cell r="F78">
            <v>-1.8E-3</v>
          </cell>
          <cell r="G78">
            <v>0.20830000000000001</v>
          </cell>
        </row>
        <row r="79">
          <cell r="A79" t="str">
            <v>2002-00359</v>
          </cell>
          <cell r="B79">
            <v>37561</v>
          </cell>
          <cell r="C79">
            <v>0.19040000000000001</v>
          </cell>
          <cell r="D79">
            <v>0</v>
          </cell>
          <cell r="E79">
            <v>0</v>
          </cell>
          <cell r="F79">
            <v>-3.1099999999999999E-2</v>
          </cell>
          <cell r="G79">
            <v>0.15930000000000002</v>
          </cell>
        </row>
        <row r="80">
          <cell r="A80" t="str">
            <v>2003-00002</v>
          </cell>
          <cell r="B80">
            <v>37653</v>
          </cell>
          <cell r="C80">
            <v>0.19040000000000001</v>
          </cell>
          <cell r="D80">
            <v>0</v>
          </cell>
          <cell r="E80">
            <v>0</v>
          </cell>
          <cell r="F80">
            <v>-3.1099999999999999E-2</v>
          </cell>
          <cell r="G80">
            <v>0.15930000000000002</v>
          </cell>
        </row>
        <row r="81">
          <cell r="A81" t="str">
            <v>2003-00083</v>
          </cell>
          <cell r="B81">
            <v>37713</v>
          </cell>
          <cell r="C81">
            <v>0.19040000000000001</v>
          </cell>
          <cell r="D81">
            <v>0</v>
          </cell>
          <cell r="E81">
            <v>0</v>
          </cell>
          <cell r="F81">
            <v>-3.1099999999999999E-2</v>
          </cell>
          <cell r="G81">
            <v>0.15930000000000002</v>
          </cell>
        </row>
        <row r="82">
          <cell r="A82" t="str">
            <v>2003-00126</v>
          </cell>
          <cell r="B82">
            <v>37742</v>
          </cell>
          <cell r="C82">
            <v>0.19040000000000001</v>
          </cell>
          <cell r="D82">
            <v>0</v>
          </cell>
          <cell r="E82">
            <v>0</v>
          </cell>
          <cell r="F82">
            <v>-3.1099999999999999E-2</v>
          </cell>
          <cell r="G82">
            <v>0.15930000000000002</v>
          </cell>
        </row>
        <row r="83">
          <cell r="A83" t="str">
            <v>2003-00258</v>
          </cell>
          <cell r="B83">
            <v>37834</v>
          </cell>
          <cell r="C83">
            <v>0.18709999999999999</v>
          </cell>
          <cell r="D83">
            <v>0</v>
          </cell>
          <cell r="E83">
            <v>0</v>
          </cell>
          <cell r="F83">
            <v>-2.93E-2</v>
          </cell>
          <cell r="G83">
            <v>0.1578</v>
          </cell>
        </row>
        <row r="84">
          <cell r="A84" t="str">
            <v>2003-00377</v>
          </cell>
          <cell r="B84">
            <v>37926</v>
          </cell>
          <cell r="C84">
            <v>0.18709999999999999</v>
          </cell>
          <cell r="D84">
            <v>0</v>
          </cell>
          <cell r="E84">
            <v>0</v>
          </cell>
          <cell r="F84">
            <v>-2.93E-2</v>
          </cell>
          <cell r="G84">
            <v>0.1578</v>
          </cell>
        </row>
        <row r="85">
          <cell r="A85" t="str">
            <v>2003-00504</v>
          </cell>
          <cell r="B85">
            <v>38018</v>
          </cell>
          <cell r="C85">
            <v>0.18709999999999999</v>
          </cell>
          <cell r="D85">
            <v>0</v>
          </cell>
          <cell r="E85">
            <v>0</v>
          </cell>
          <cell r="F85">
            <v>0</v>
          </cell>
          <cell r="G85">
            <v>0.18709999999999999</v>
          </cell>
        </row>
        <row r="86">
          <cell r="A86" t="str">
            <v>2004-00122</v>
          </cell>
          <cell r="B86">
            <v>38108</v>
          </cell>
          <cell r="C86">
            <v>0.18709999999999999</v>
          </cell>
          <cell r="D86">
            <v>0</v>
          </cell>
          <cell r="E86">
            <v>0</v>
          </cell>
          <cell r="F86">
            <v>0</v>
          </cell>
          <cell r="G86">
            <v>0.18709999999999999</v>
          </cell>
        </row>
        <row r="87">
          <cell r="A87" t="str">
            <v>2004-00269</v>
          </cell>
          <cell r="B87">
            <v>38200</v>
          </cell>
          <cell r="C87">
            <v>0.18709999999999999</v>
          </cell>
          <cell r="D87">
            <v>0</v>
          </cell>
          <cell r="E87">
            <v>0</v>
          </cell>
          <cell r="F87">
            <v>0</v>
          </cell>
          <cell r="G87">
            <v>0.18709999999999999</v>
          </cell>
        </row>
        <row r="88">
          <cell r="A88" t="str">
            <v>2004-00398</v>
          </cell>
          <cell r="B88">
            <v>38292</v>
          </cell>
          <cell r="C88">
            <v>0.18640000000000001</v>
          </cell>
          <cell r="D88">
            <v>0</v>
          </cell>
          <cell r="E88">
            <v>0</v>
          </cell>
          <cell r="F88">
            <v>0</v>
          </cell>
          <cell r="G88">
            <v>0.18640000000000001</v>
          </cell>
        </row>
        <row r="89">
          <cell r="A89" t="str">
            <v>2005-00013</v>
          </cell>
          <cell r="B89">
            <v>38384</v>
          </cell>
          <cell r="C89">
            <v>0.18640000000000001</v>
          </cell>
          <cell r="D89">
            <v>0</v>
          </cell>
          <cell r="E89">
            <v>0</v>
          </cell>
          <cell r="F89">
            <v>0</v>
          </cell>
          <cell r="G89">
            <v>0.18640000000000001</v>
          </cell>
        </row>
        <row r="90">
          <cell r="A90" t="str">
            <v>2005-00139</v>
          </cell>
          <cell r="B90">
            <v>38473</v>
          </cell>
          <cell r="C90">
            <v>0.18640000000000001</v>
          </cell>
          <cell r="D90">
            <v>0</v>
          </cell>
          <cell r="E90">
            <v>0</v>
          </cell>
          <cell r="F90">
            <v>0</v>
          </cell>
          <cell r="G90">
            <v>0.18640000000000001</v>
          </cell>
        </row>
        <row r="91">
          <cell r="A91" t="str">
            <v>2005-00271</v>
          </cell>
          <cell r="B91">
            <v>38565</v>
          </cell>
          <cell r="C91">
            <v>0.18640000000000001</v>
          </cell>
          <cell r="D91">
            <v>0</v>
          </cell>
          <cell r="E91">
            <v>0</v>
          </cell>
          <cell r="F91">
            <v>0</v>
          </cell>
          <cell r="G91">
            <v>0.18640000000000001</v>
          </cell>
        </row>
        <row r="92">
          <cell r="A92" t="str">
            <v>2005-00354</v>
          </cell>
          <cell r="B92">
            <v>38626</v>
          </cell>
          <cell r="C92">
            <v>0.18640000000000001</v>
          </cell>
          <cell r="D92">
            <v>0</v>
          </cell>
          <cell r="E92">
            <v>0</v>
          </cell>
          <cell r="F92">
            <v>0</v>
          </cell>
          <cell r="G92">
            <v>0.18640000000000001</v>
          </cell>
        </row>
        <row r="93">
          <cell r="A93" t="str">
            <v>2005-00399</v>
          </cell>
          <cell r="B93">
            <v>38657</v>
          </cell>
          <cell r="C93">
            <v>0.18640000000000001</v>
          </cell>
          <cell r="D93">
            <v>0</v>
          </cell>
          <cell r="E93">
            <v>0</v>
          </cell>
          <cell r="F93">
            <v>0</v>
          </cell>
          <cell r="G93">
            <v>0.18640000000000001</v>
          </cell>
        </row>
        <row r="94">
          <cell r="A94" t="str">
            <v>2005-00552</v>
          </cell>
          <cell r="B94">
            <v>38749</v>
          </cell>
          <cell r="C94">
            <v>0.2195</v>
          </cell>
          <cell r="D94">
            <v>0</v>
          </cell>
          <cell r="E94">
            <v>0</v>
          </cell>
          <cell r="F94">
            <v>0</v>
          </cell>
          <cell r="G94">
            <v>0.2195</v>
          </cell>
        </row>
        <row r="95">
          <cell r="A95" t="str">
            <v>2006-00135</v>
          </cell>
          <cell r="B95">
            <v>38838</v>
          </cell>
          <cell r="C95">
            <v>0.18390000000000001</v>
          </cell>
          <cell r="D95">
            <v>0</v>
          </cell>
          <cell r="E95">
            <v>0</v>
          </cell>
          <cell r="F95">
            <v>0</v>
          </cell>
          <cell r="G95">
            <v>0.18390000000000001</v>
          </cell>
        </row>
        <row r="96">
          <cell r="A96" t="str">
            <v>2006-00324</v>
          </cell>
          <cell r="B96">
            <v>38930</v>
          </cell>
          <cell r="C96">
            <v>0.18390000000000001</v>
          </cell>
          <cell r="D96">
            <v>0</v>
          </cell>
          <cell r="E96">
            <v>0</v>
          </cell>
          <cell r="F96">
            <v>0</v>
          </cell>
          <cell r="G96">
            <v>0.18390000000000001</v>
          </cell>
        </row>
        <row r="97">
          <cell r="A97" t="str">
            <v>2006-00428</v>
          </cell>
          <cell r="B97">
            <v>39022</v>
          </cell>
          <cell r="C97">
            <v>0.18390000000000001</v>
          </cell>
          <cell r="D97">
            <v>0</v>
          </cell>
          <cell r="E97">
            <v>0</v>
          </cell>
          <cell r="F97">
            <v>0</v>
          </cell>
          <cell r="G97">
            <v>0.18390000000000001</v>
          </cell>
        </row>
      </sheetData>
      <sheetData sheetId="46">
        <row r="7">
          <cell r="A7" t="str">
            <v>Case No.</v>
          </cell>
          <cell r="B7" t="str">
            <v>Effective</v>
          </cell>
          <cell r="C7" t="str">
            <v>TOP</v>
          </cell>
          <cell r="D7" t="str">
            <v>RF</v>
          </cell>
          <cell r="E7" t="str">
            <v>Non-Com</v>
          </cell>
        </row>
        <row r="8">
          <cell r="A8" t="str">
            <v>95-010</v>
          </cell>
          <cell r="B8">
            <v>34943</v>
          </cell>
          <cell r="C8">
            <v>8.2000000000000007E-3</v>
          </cell>
          <cell r="D8">
            <v>-1.5300000000000001E-2</v>
          </cell>
          <cell r="E8">
            <v>-7.1000000000000004E-3</v>
          </cell>
        </row>
        <row r="9">
          <cell r="A9" t="str">
            <v>95-010 A</v>
          </cell>
          <cell r="B9">
            <v>34999</v>
          </cell>
          <cell r="C9">
            <v>8.2000000000000007E-3</v>
          </cell>
          <cell r="D9">
            <v>-1.5300000000000001E-2</v>
          </cell>
          <cell r="E9">
            <v>-7.1000000000000004E-3</v>
          </cell>
        </row>
        <row r="10">
          <cell r="A10" t="str">
            <v>95-010 B</v>
          </cell>
          <cell r="B10">
            <v>35004</v>
          </cell>
          <cell r="C10">
            <v>8.2000000000000007E-3</v>
          </cell>
          <cell r="D10">
            <v>0</v>
          </cell>
          <cell r="E10">
            <v>8.2000000000000007E-3</v>
          </cell>
        </row>
        <row r="11">
          <cell r="A11" t="str">
            <v>95-010 C</v>
          </cell>
          <cell r="B11">
            <v>35034</v>
          </cell>
          <cell r="C11">
            <v>8.2000000000000007E-3</v>
          </cell>
          <cell r="D11">
            <v>0</v>
          </cell>
          <cell r="E11">
            <v>8.2000000000000007E-3</v>
          </cell>
        </row>
        <row r="12">
          <cell r="A12" t="str">
            <v>95-010 D</v>
          </cell>
          <cell r="B12">
            <v>35065</v>
          </cell>
          <cell r="C12">
            <v>8.2000000000000007E-3</v>
          </cell>
          <cell r="D12">
            <v>0</v>
          </cell>
          <cell r="E12">
            <v>8.2000000000000007E-3</v>
          </cell>
        </row>
        <row r="13">
          <cell r="A13" t="str">
            <v>95-010 E</v>
          </cell>
          <cell r="B13">
            <v>35096</v>
          </cell>
          <cell r="C13">
            <v>0</v>
          </cell>
          <cell r="D13">
            <v>0</v>
          </cell>
          <cell r="E13">
            <v>0</v>
          </cell>
        </row>
        <row r="14">
          <cell r="A14" t="str">
            <v>95-010 F</v>
          </cell>
          <cell r="B14">
            <v>35125</v>
          </cell>
          <cell r="C14">
            <v>0</v>
          </cell>
          <cell r="D14">
            <v>0</v>
          </cell>
          <cell r="E14">
            <v>0</v>
          </cell>
        </row>
        <row r="15">
          <cell r="A15" t="str">
            <v>95-010 G</v>
          </cell>
          <cell r="B15">
            <v>35156</v>
          </cell>
          <cell r="C15">
            <v>0</v>
          </cell>
          <cell r="D15">
            <v>0</v>
          </cell>
          <cell r="E15">
            <v>0</v>
          </cell>
        </row>
        <row r="16">
          <cell r="A16" t="str">
            <v>95-010 H</v>
          </cell>
          <cell r="B16">
            <v>35186</v>
          </cell>
          <cell r="C16">
            <v>0</v>
          </cell>
          <cell r="D16">
            <v>0</v>
          </cell>
          <cell r="E16">
            <v>0</v>
          </cell>
        </row>
        <row r="17">
          <cell r="A17" t="str">
            <v>95-010 I</v>
          </cell>
          <cell r="B17">
            <v>35217</v>
          </cell>
          <cell r="C17">
            <v>0</v>
          </cell>
          <cell r="D17">
            <v>0</v>
          </cell>
          <cell r="E17">
            <v>0</v>
          </cell>
        </row>
        <row r="18">
          <cell r="A18" t="str">
            <v>95-010 J</v>
          </cell>
          <cell r="B18">
            <v>35247</v>
          </cell>
          <cell r="C18">
            <v>0</v>
          </cell>
          <cell r="D18">
            <v>0</v>
          </cell>
          <cell r="E18">
            <v>0</v>
          </cell>
        </row>
        <row r="19">
          <cell r="A19" t="str">
            <v>95-010 K</v>
          </cell>
          <cell r="B19">
            <v>35278</v>
          </cell>
          <cell r="C19">
            <v>0</v>
          </cell>
          <cell r="D19">
            <v>0</v>
          </cell>
          <cell r="E19">
            <v>0</v>
          </cell>
        </row>
        <row r="20">
          <cell r="A20" t="str">
            <v>95-010 L</v>
          </cell>
          <cell r="B20">
            <v>35309</v>
          </cell>
          <cell r="C20">
            <v>0</v>
          </cell>
          <cell r="D20">
            <v>0</v>
          </cell>
          <cell r="E20">
            <v>0</v>
          </cell>
        </row>
        <row r="21">
          <cell r="A21" t="str">
            <v>95-010 M</v>
          </cell>
          <cell r="B21">
            <v>35339</v>
          </cell>
          <cell r="C21">
            <v>0</v>
          </cell>
          <cell r="D21">
            <v>0</v>
          </cell>
          <cell r="E21">
            <v>0</v>
          </cell>
        </row>
        <row r="22">
          <cell r="A22" t="str">
            <v>95-010 N</v>
          </cell>
          <cell r="B22">
            <v>35370</v>
          </cell>
          <cell r="C22">
            <v>0</v>
          </cell>
          <cell r="D22">
            <v>0</v>
          </cell>
          <cell r="E22">
            <v>0</v>
          </cell>
        </row>
        <row r="23">
          <cell r="A23" t="str">
            <v>95-010 O</v>
          </cell>
          <cell r="B23">
            <v>35400</v>
          </cell>
          <cell r="C23">
            <v>0</v>
          </cell>
          <cell r="D23">
            <v>0</v>
          </cell>
          <cell r="E23">
            <v>0</v>
          </cell>
        </row>
        <row r="24">
          <cell r="A24" t="str">
            <v>95-010 P</v>
          </cell>
          <cell r="B24">
            <v>35431</v>
          </cell>
          <cell r="C24">
            <v>0</v>
          </cell>
          <cell r="D24">
            <v>0</v>
          </cell>
          <cell r="E24">
            <v>0</v>
          </cell>
        </row>
        <row r="25">
          <cell r="A25" t="str">
            <v>95-010 Q</v>
          </cell>
          <cell r="B25">
            <v>35462</v>
          </cell>
          <cell r="C25">
            <v>0</v>
          </cell>
          <cell r="D25">
            <v>0</v>
          </cell>
          <cell r="E25">
            <v>0</v>
          </cell>
        </row>
        <row r="26">
          <cell r="A26" t="str">
            <v>95-010 R</v>
          </cell>
          <cell r="B26">
            <v>35490</v>
          </cell>
          <cell r="C26">
            <v>0</v>
          </cell>
          <cell r="D26">
            <v>0</v>
          </cell>
          <cell r="E26">
            <v>0</v>
          </cell>
        </row>
        <row r="27">
          <cell r="A27" t="str">
            <v>95-010 S</v>
          </cell>
          <cell r="B27">
            <v>35521</v>
          </cell>
          <cell r="C27">
            <v>0</v>
          </cell>
          <cell r="D27">
            <v>0</v>
          </cell>
          <cell r="E27">
            <v>0</v>
          </cell>
        </row>
        <row r="28">
          <cell r="A28" t="str">
            <v>95-010 T</v>
          </cell>
          <cell r="B28">
            <v>35551</v>
          </cell>
          <cell r="C28">
            <v>0</v>
          </cell>
          <cell r="D28">
            <v>0</v>
          </cell>
          <cell r="E28">
            <v>0</v>
          </cell>
        </row>
        <row r="29">
          <cell r="A29" t="str">
            <v>95-010 U</v>
          </cell>
          <cell r="B29">
            <v>35582</v>
          </cell>
          <cell r="C29">
            <v>0</v>
          </cell>
          <cell r="D29">
            <v>0</v>
          </cell>
          <cell r="E29">
            <v>0</v>
          </cell>
        </row>
        <row r="30">
          <cell r="A30" t="str">
            <v>95-010 V</v>
          </cell>
          <cell r="B30">
            <v>35612</v>
          </cell>
          <cell r="C30">
            <v>0</v>
          </cell>
          <cell r="D30">
            <v>0</v>
          </cell>
          <cell r="E30">
            <v>0</v>
          </cell>
        </row>
        <row r="31">
          <cell r="A31" t="str">
            <v>95-010 W</v>
          </cell>
          <cell r="B31">
            <v>35643</v>
          </cell>
          <cell r="C31">
            <v>0</v>
          </cell>
          <cell r="D31">
            <v>0</v>
          </cell>
          <cell r="E31">
            <v>0</v>
          </cell>
        </row>
        <row r="32">
          <cell r="A32" t="str">
            <v>95-010 X</v>
          </cell>
          <cell r="B32">
            <v>35674</v>
          </cell>
          <cell r="C32">
            <v>0</v>
          </cell>
          <cell r="D32">
            <v>0</v>
          </cell>
          <cell r="E32">
            <v>0</v>
          </cell>
        </row>
        <row r="33">
          <cell r="A33" t="str">
            <v>95-010 Y</v>
          </cell>
          <cell r="B33">
            <v>35704</v>
          </cell>
          <cell r="C33">
            <v>0</v>
          </cell>
          <cell r="D33">
            <v>0</v>
          </cell>
          <cell r="E33">
            <v>0</v>
          </cell>
        </row>
        <row r="34">
          <cell r="A34" t="str">
            <v>95-010 Z</v>
          </cell>
          <cell r="B34">
            <v>35735</v>
          </cell>
          <cell r="C34">
            <v>0</v>
          </cell>
          <cell r="D34">
            <v>0</v>
          </cell>
          <cell r="E34">
            <v>0</v>
          </cell>
        </row>
        <row r="35">
          <cell r="A35" t="str">
            <v>95-010 AA</v>
          </cell>
          <cell r="B35">
            <v>35765</v>
          </cell>
          <cell r="C35">
            <v>0</v>
          </cell>
          <cell r="D35">
            <v>0</v>
          </cell>
          <cell r="E35">
            <v>0</v>
          </cell>
        </row>
        <row r="36">
          <cell r="A36" t="str">
            <v>95-010 BB</v>
          </cell>
          <cell r="B36">
            <v>35796</v>
          </cell>
          <cell r="C36">
            <v>0</v>
          </cell>
          <cell r="D36">
            <v>0</v>
          </cell>
          <cell r="E36">
            <v>0</v>
          </cell>
        </row>
        <row r="37">
          <cell r="A37" t="str">
            <v>95-010 CC</v>
          </cell>
          <cell r="B37">
            <v>35827</v>
          </cell>
          <cell r="C37">
            <v>0</v>
          </cell>
          <cell r="D37">
            <v>0</v>
          </cell>
          <cell r="E37">
            <v>0</v>
          </cell>
        </row>
        <row r="38">
          <cell r="A38" t="str">
            <v>95-010 DD</v>
          </cell>
          <cell r="B38">
            <v>35855</v>
          </cell>
          <cell r="C38">
            <v>0</v>
          </cell>
          <cell r="D38">
            <v>0</v>
          </cell>
          <cell r="E38">
            <v>0</v>
          </cell>
        </row>
        <row r="39">
          <cell r="A39" t="str">
            <v>95-010 EE</v>
          </cell>
          <cell r="B39">
            <v>35886</v>
          </cell>
          <cell r="C39">
            <v>0</v>
          </cell>
          <cell r="D39">
            <v>0</v>
          </cell>
          <cell r="E39">
            <v>0</v>
          </cell>
        </row>
        <row r="40">
          <cell r="A40" t="str">
            <v>95-010 FF</v>
          </cell>
          <cell r="B40">
            <v>35916</v>
          </cell>
          <cell r="C40">
            <v>0</v>
          </cell>
          <cell r="D40">
            <v>0</v>
          </cell>
          <cell r="E40">
            <v>0</v>
          </cell>
        </row>
        <row r="41">
          <cell r="A41" t="str">
            <v>95-010 GG</v>
          </cell>
          <cell r="B41">
            <v>35947</v>
          </cell>
          <cell r="C41">
            <v>0</v>
          </cell>
          <cell r="D41">
            <v>0</v>
          </cell>
          <cell r="E41">
            <v>0</v>
          </cell>
        </row>
        <row r="42">
          <cell r="A42" t="str">
            <v>95-010 HH</v>
          </cell>
          <cell r="B42">
            <v>35977</v>
          </cell>
          <cell r="C42">
            <v>0</v>
          </cell>
          <cell r="D42">
            <v>0</v>
          </cell>
          <cell r="E42">
            <v>0</v>
          </cell>
        </row>
        <row r="43">
          <cell r="A43" t="str">
            <v>95-010 II</v>
          </cell>
          <cell r="B43">
            <v>36008</v>
          </cell>
          <cell r="C43">
            <v>0</v>
          </cell>
          <cell r="D43">
            <v>0</v>
          </cell>
          <cell r="E43">
            <v>0</v>
          </cell>
        </row>
        <row r="44">
          <cell r="A44" t="str">
            <v>95-010 JJ</v>
          </cell>
          <cell r="B44">
            <v>36039</v>
          </cell>
          <cell r="C44">
            <v>0</v>
          </cell>
          <cell r="D44">
            <v>0</v>
          </cell>
          <cell r="E44">
            <v>0</v>
          </cell>
        </row>
        <row r="45">
          <cell r="A45" t="str">
            <v>95-010 KK</v>
          </cell>
          <cell r="B45">
            <v>36069</v>
          </cell>
          <cell r="C45">
            <v>0</v>
          </cell>
          <cell r="D45">
            <v>0</v>
          </cell>
          <cell r="E45">
            <v>0</v>
          </cell>
        </row>
        <row r="46">
          <cell r="A46" t="str">
            <v>95-010 LL</v>
          </cell>
          <cell r="B46">
            <v>36100</v>
          </cell>
          <cell r="C46">
            <v>0</v>
          </cell>
          <cell r="D46">
            <v>0</v>
          </cell>
          <cell r="E46">
            <v>0</v>
          </cell>
        </row>
        <row r="47">
          <cell r="A47" t="str">
            <v>95-010 MM</v>
          </cell>
          <cell r="B47">
            <v>36130</v>
          </cell>
          <cell r="C47">
            <v>0</v>
          </cell>
          <cell r="D47">
            <v>0</v>
          </cell>
          <cell r="E47">
            <v>0</v>
          </cell>
        </row>
        <row r="48">
          <cell r="A48" t="str">
            <v>95-010 NN</v>
          </cell>
          <cell r="B48">
            <v>36161</v>
          </cell>
          <cell r="C48">
            <v>0</v>
          </cell>
          <cell r="D48">
            <v>0</v>
          </cell>
          <cell r="E48">
            <v>0</v>
          </cell>
        </row>
        <row r="49">
          <cell r="A49" t="str">
            <v>95-010 OO</v>
          </cell>
          <cell r="B49">
            <v>36192</v>
          </cell>
          <cell r="C49">
            <v>0</v>
          </cell>
          <cell r="D49">
            <v>0</v>
          </cell>
          <cell r="E49">
            <v>0</v>
          </cell>
        </row>
        <row r="50">
          <cell r="A50" t="str">
            <v>95-010 PP</v>
          </cell>
          <cell r="B50">
            <v>36220</v>
          </cell>
          <cell r="C50">
            <v>0</v>
          </cell>
          <cell r="D50">
            <v>0</v>
          </cell>
          <cell r="E50">
            <v>0</v>
          </cell>
        </row>
        <row r="51">
          <cell r="A51" t="str">
            <v>95-010 QQ</v>
          </cell>
          <cell r="B51">
            <v>36251</v>
          </cell>
          <cell r="C51">
            <v>0</v>
          </cell>
          <cell r="D51">
            <v>0</v>
          </cell>
          <cell r="E51">
            <v>0</v>
          </cell>
        </row>
        <row r="52">
          <cell r="A52" t="str">
            <v>95-010 RR</v>
          </cell>
          <cell r="B52">
            <v>36281</v>
          </cell>
          <cell r="C52">
            <v>0</v>
          </cell>
          <cell r="D52">
            <v>0</v>
          </cell>
          <cell r="E52">
            <v>0</v>
          </cell>
        </row>
        <row r="53">
          <cell r="A53" t="str">
            <v>95-010 SS</v>
          </cell>
          <cell r="B53">
            <v>36312</v>
          </cell>
          <cell r="C53">
            <v>0</v>
          </cell>
          <cell r="D53">
            <v>0</v>
          </cell>
          <cell r="E53">
            <v>0</v>
          </cell>
        </row>
        <row r="54">
          <cell r="A54" t="str">
            <v>95-010 TT</v>
          </cell>
          <cell r="B54">
            <v>36342</v>
          </cell>
          <cell r="C54">
            <v>0</v>
          </cell>
          <cell r="D54">
            <v>0</v>
          </cell>
          <cell r="E54">
            <v>0</v>
          </cell>
        </row>
        <row r="55">
          <cell r="A55" t="str">
            <v>95-010 UU</v>
          </cell>
          <cell r="B55">
            <v>36373</v>
          </cell>
          <cell r="C55">
            <v>0</v>
          </cell>
          <cell r="D55">
            <v>0</v>
          </cell>
          <cell r="E55">
            <v>0</v>
          </cell>
        </row>
        <row r="56">
          <cell r="A56" t="str">
            <v>95-010 VV</v>
          </cell>
          <cell r="B56">
            <v>36404</v>
          </cell>
          <cell r="C56">
            <v>0</v>
          </cell>
          <cell r="D56">
            <v>0</v>
          </cell>
          <cell r="E56">
            <v>0</v>
          </cell>
        </row>
        <row r="57">
          <cell r="A57" t="str">
            <v>95-010 WW</v>
          </cell>
          <cell r="B57">
            <v>36434</v>
          </cell>
          <cell r="C57">
            <v>0</v>
          </cell>
          <cell r="D57">
            <v>0</v>
          </cell>
          <cell r="E57">
            <v>0</v>
          </cell>
        </row>
        <row r="58">
          <cell r="A58" t="str">
            <v>95-010 XX</v>
          </cell>
          <cell r="B58">
            <v>36465</v>
          </cell>
          <cell r="C58">
            <v>0</v>
          </cell>
          <cell r="D58">
            <v>0</v>
          </cell>
          <cell r="E58">
            <v>0</v>
          </cell>
        </row>
        <row r="59">
          <cell r="A59" t="str">
            <v>95-010 YY</v>
          </cell>
          <cell r="B59">
            <v>36495</v>
          </cell>
          <cell r="C59">
            <v>0</v>
          </cell>
          <cell r="D59">
            <v>0</v>
          </cell>
          <cell r="E59">
            <v>0</v>
          </cell>
        </row>
        <row r="60">
          <cell r="A60" t="str">
            <v>99-070</v>
          </cell>
          <cell r="B60">
            <v>36526</v>
          </cell>
          <cell r="C60">
            <v>0</v>
          </cell>
          <cell r="D60">
            <v>0</v>
          </cell>
          <cell r="E60">
            <v>0</v>
          </cell>
        </row>
        <row r="61">
          <cell r="A61" t="str">
            <v>99-070 A</v>
          </cell>
          <cell r="B61">
            <v>36557</v>
          </cell>
          <cell r="C61">
            <v>0</v>
          </cell>
          <cell r="D61">
            <v>0</v>
          </cell>
          <cell r="E61">
            <v>0</v>
          </cell>
        </row>
        <row r="62">
          <cell r="A62" t="str">
            <v>1999-070 B</v>
          </cell>
          <cell r="B62">
            <v>36617</v>
          </cell>
          <cell r="C62">
            <v>0</v>
          </cell>
          <cell r="D62">
            <v>0</v>
          </cell>
          <cell r="E62">
            <v>0</v>
          </cell>
        </row>
        <row r="63">
          <cell r="A63" t="str">
            <v>1999-070 C</v>
          </cell>
          <cell r="B63">
            <v>36647</v>
          </cell>
          <cell r="C63">
            <v>0</v>
          </cell>
          <cell r="D63">
            <v>0</v>
          </cell>
          <cell r="E63">
            <v>0</v>
          </cell>
        </row>
        <row r="64">
          <cell r="A64" t="str">
            <v>1999-070 D</v>
          </cell>
          <cell r="B64">
            <v>36708</v>
          </cell>
          <cell r="C64">
            <v>0</v>
          </cell>
          <cell r="D64">
            <v>0</v>
          </cell>
          <cell r="E64">
            <v>0</v>
          </cell>
        </row>
        <row r="65">
          <cell r="A65" t="str">
            <v>1999-070 E</v>
          </cell>
          <cell r="B65">
            <v>36739</v>
          </cell>
          <cell r="C65">
            <v>0</v>
          </cell>
          <cell r="D65">
            <v>0</v>
          </cell>
          <cell r="E65">
            <v>0</v>
          </cell>
        </row>
        <row r="66">
          <cell r="A66" t="str">
            <v>1999-070 F</v>
          </cell>
          <cell r="B66">
            <v>36800</v>
          </cell>
          <cell r="C66">
            <v>0</v>
          </cell>
          <cell r="D66">
            <v>0</v>
          </cell>
          <cell r="E66">
            <v>0</v>
          </cell>
        </row>
        <row r="67">
          <cell r="A67" t="str">
            <v>1999-070 G</v>
          </cell>
          <cell r="B67">
            <v>36831</v>
          </cell>
          <cell r="C67">
            <v>0</v>
          </cell>
          <cell r="D67">
            <v>0</v>
          </cell>
          <cell r="E67">
            <v>0</v>
          </cell>
        </row>
        <row r="68">
          <cell r="A68" t="str">
            <v>1999-070 H</v>
          </cell>
          <cell r="B68">
            <v>36923</v>
          </cell>
          <cell r="C68">
            <v>0</v>
          </cell>
          <cell r="D68">
            <v>0</v>
          </cell>
          <cell r="E68">
            <v>0</v>
          </cell>
        </row>
        <row r="69">
          <cell r="A69" t="str">
            <v>1999-070 I</v>
          </cell>
          <cell r="B69">
            <v>36951</v>
          </cell>
          <cell r="C69">
            <v>0</v>
          </cell>
          <cell r="D69">
            <v>0</v>
          </cell>
          <cell r="E69">
            <v>0</v>
          </cell>
        </row>
        <row r="70">
          <cell r="A70" t="str">
            <v>1999-070 J</v>
          </cell>
          <cell r="B70">
            <v>36982</v>
          </cell>
          <cell r="C70">
            <v>0</v>
          </cell>
          <cell r="D70">
            <v>0</v>
          </cell>
          <cell r="E70">
            <v>0</v>
          </cell>
        </row>
        <row r="71">
          <cell r="A71" t="str">
            <v>1999-070 K</v>
          </cell>
          <cell r="B71">
            <v>37012</v>
          </cell>
          <cell r="C71">
            <v>0</v>
          </cell>
          <cell r="D71">
            <v>0</v>
          </cell>
          <cell r="E71">
            <v>0</v>
          </cell>
        </row>
        <row r="72">
          <cell r="A72" t="str">
            <v>1999-070 L</v>
          </cell>
          <cell r="B72">
            <v>37043</v>
          </cell>
          <cell r="C72">
            <v>0</v>
          </cell>
          <cell r="D72">
            <v>0</v>
          </cell>
          <cell r="E72">
            <v>0</v>
          </cell>
        </row>
        <row r="73">
          <cell r="A73" t="str">
            <v>1999-070 M</v>
          </cell>
          <cell r="B73">
            <v>37073</v>
          </cell>
          <cell r="C73">
            <v>0</v>
          </cell>
          <cell r="D73">
            <v>0</v>
          </cell>
          <cell r="E73">
            <v>0</v>
          </cell>
        </row>
        <row r="74">
          <cell r="A74" t="str">
            <v>1999-070 N</v>
          </cell>
          <cell r="B74">
            <v>37104</v>
          </cell>
          <cell r="C74">
            <v>0</v>
          </cell>
          <cell r="D74">
            <v>0</v>
          </cell>
          <cell r="E74">
            <v>0</v>
          </cell>
        </row>
        <row r="75">
          <cell r="A75" t="str">
            <v>1999-070 O</v>
          </cell>
          <cell r="B75">
            <v>37196</v>
          </cell>
          <cell r="C75">
            <v>0</v>
          </cell>
          <cell r="D75">
            <v>0</v>
          </cell>
          <cell r="E75">
            <v>0</v>
          </cell>
        </row>
        <row r="76">
          <cell r="A76" t="str">
            <v>1999-070 P</v>
          </cell>
          <cell r="B76">
            <v>37288</v>
          </cell>
          <cell r="C76">
            <v>0</v>
          </cell>
          <cell r="D76">
            <v>0</v>
          </cell>
          <cell r="E76">
            <v>0</v>
          </cell>
        </row>
        <row r="77">
          <cell r="A77" t="str">
            <v>2002-00113</v>
          </cell>
          <cell r="B77">
            <v>37377</v>
          </cell>
          <cell r="C77">
            <v>0</v>
          </cell>
          <cell r="D77">
            <v>0</v>
          </cell>
          <cell r="E77">
            <v>0</v>
          </cell>
        </row>
        <row r="78">
          <cell r="A78" t="str">
            <v>2002-00251</v>
          </cell>
          <cell r="B78">
            <v>37469</v>
          </cell>
          <cell r="C78">
            <v>0</v>
          </cell>
          <cell r="D78">
            <v>0</v>
          </cell>
          <cell r="E78">
            <v>0</v>
          </cell>
        </row>
        <row r="79">
          <cell r="A79" t="str">
            <v>2002-00359</v>
          </cell>
          <cell r="B79">
            <v>37561</v>
          </cell>
          <cell r="C79">
            <v>0</v>
          </cell>
          <cell r="D79">
            <v>0</v>
          </cell>
          <cell r="E79">
            <v>0</v>
          </cell>
        </row>
        <row r="80">
          <cell r="A80" t="str">
            <v>2003-00002</v>
          </cell>
          <cell r="B80">
            <v>37653</v>
          </cell>
          <cell r="C80">
            <v>0</v>
          </cell>
          <cell r="D80">
            <v>0</v>
          </cell>
          <cell r="E80">
            <v>0</v>
          </cell>
        </row>
        <row r="81">
          <cell r="A81" t="str">
            <v>2003-00083</v>
          </cell>
          <cell r="B81">
            <v>37713</v>
          </cell>
          <cell r="C81">
            <v>0</v>
          </cell>
          <cell r="D81">
            <v>0</v>
          </cell>
          <cell r="E81">
            <v>0</v>
          </cell>
        </row>
        <row r="82">
          <cell r="A82" t="str">
            <v>2003-00126</v>
          </cell>
          <cell r="B82" t="str">
            <v>05/01/03</v>
          </cell>
          <cell r="C82">
            <v>0</v>
          </cell>
          <cell r="D82">
            <v>0</v>
          </cell>
          <cell r="E82">
            <v>0</v>
          </cell>
        </row>
        <row r="83">
          <cell r="A83" t="str">
            <v>2003-00258</v>
          </cell>
          <cell r="B83">
            <v>37834</v>
          </cell>
          <cell r="C83">
            <v>0</v>
          </cell>
          <cell r="D83">
            <v>0</v>
          </cell>
          <cell r="E83">
            <v>0</v>
          </cell>
        </row>
        <row r="84">
          <cell r="A84" t="str">
            <v>2003-00377</v>
          </cell>
          <cell r="B84">
            <v>37926</v>
          </cell>
          <cell r="C84">
            <v>0</v>
          </cell>
          <cell r="D84">
            <v>0</v>
          </cell>
          <cell r="E84">
            <v>0</v>
          </cell>
        </row>
        <row r="85">
          <cell r="A85" t="str">
            <v>2003-00504</v>
          </cell>
          <cell r="B85">
            <v>38018</v>
          </cell>
          <cell r="C85">
            <v>0</v>
          </cell>
          <cell r="D85">
            <v>0</v>
          </cell>
          <cell r="E85">
            <v>0</v>
          </cell>
        </row>
        <row r="86">
          <cell r="A86" t="str">
            <v>2004-00122</v>
          </cell>
          <cell r="B86">
            <v>38108</v>
          </cell>
          <cell r="C86">
            <v>0</v>
          </cell>
          <cell r="D86">
            <v>0</v>
          </cell>
          <cell r="E86">
            <v>0</v>
          </cell>
        </row>
        <row r="87">
          <cell r="A87" t="str">
            <v>2004-00269</v>
          </cell>
          <cell r="B87">
            <v>38200</v>
          </cell>
          <cell r="C87">
            <v>0</v>
          </cell>
          <cell r="D87">
            <v>0</v>
          </cell>
          <cell r="E87">
            <v>0</v>
          </cell>
        </row>
        <row r="88">
          <cell r="A88" t="str">
            <v>2004-00398</v>
          </cell>
          <cell r="B88">
            <v>38384</v>
          </cell>
          <cell r="C88">
            <v>0</v>
          </cell>
          <cell r="D88">
            <v>0</v>
          </cell>
          <cell r="E88">
            <v>0</v>
          </cell>
        </row>
        <row r="89">
          <cell r="A89" t="str">
            <v>2005-00013</v>
          </cell>
          <cell r="B89">
            <v>38384</v>
          </cell>
          <cell r="C89">
            <v>0</v>
          </cell>
          <cell r="D89">
            <v>0</v>
          </cell>
          <cell r="E89">
            <v>0</v>
          </cell>
        </row>
        <row r="90">
          <cell r="A90" t="str">
            <v>2005-00139</v>
          </cell>
          <cell r="B90">
            <v>38473</v>
          </cell>
          <cell r="C90">
            <v>0</v>
          </cell>
          <cell r="D90">
            <v>0</v>
          </cell>
          <cell r="E90">
            <v>0</v>
          </cell>
        </row>
        <row r="91">
          <cell r="A91" t="str">
            <v>2005-00271</v>
          </cell>
          <cell r="B91">
            <v>38565</v>
          </cell>
          <cell r="C91">
            <v>0</v>
          </cell>
          <cell r="D91">
            <v>0</v>
          </cell>
          <cell r="E91">
            <v>0</v>
          </cell>
        </row>
        <row r="92">
          <cell r="A92" t="str">
            <v>2005-00354</v>
          </cell>
          <cell r="B92">
            <v>38626</v>
          </cell>
          <cell r="C92">
            <v>0</v>
          </cell>
          <cell r="D92">
            <v>0</v>
          </cell>
          <cell r="E92">
            <v>0</v>
          </cell>
        </row>
        <row r="93">
          <cell r="A93" t="str">
            <v>2005-00399</v>
          </cell>
          <cell r="B93">
            <v>38657</v>
          </cell>
          <cell r="C93">
            <v>0</v>
          </cell>
          <cell r="D93">
            <v>0</v>
          </cell>
          <cell r="E93">
            <v>0</v>
          </cell>
        </row>
        <row r="94">
          <cell r="A94" t="str">
            <v>2005-00552</v>
          </cell>
          <cell r="B94">
            <v>38749</v>
          </cell>
          <cell r="C94">
            <v>0</v>
          </cell>
          <cell r="D94">
            <v>0</v>
          </cell>
          <cell r="E94">
            <v>0</v>
          </cell>
        </row>
        <row r="95">
          <cell r="A95" t="str">
            <v>2006-00135</v>
          </cell>
          <cell r="B95">
            <v>38838</v>
          </cell>
          <cell r="C95">
            <v>0</v>
          </cell>
          <cell r="D95">
            <v>0</v>
          </cell>
          <cell r="E95">
            <v>0</v>
          </cell>
        </row>
        <row r="96">
          <cell r="A96" t="str">
            <v>2006-00324</v>
          </cell>
          <cell r="B96">
            <v>38838</v>
          </cell>
          <cell r="C96">
            <v>0</v>
          </cell>
          <cell r="D96">
            <v>0</v>
          </cell>
          <cell r="E96">
            <v>0</v>
          </cell>
        </row>
        <row r="97">
          <cell r="A97" t="str">
            <v>2006-00428</v>
          </cell>
          <cell r="B97">
            <v>39022</v>
          </cell>
          <cell r="C97">
            <v>0</v>
          </cell>
          <cell r="D97">
            <v>0</v>
          </cell>
          <cell r="E97">
            <v>0</v>
          </cell>
        </row>
      </sheetData>
      <sheetData sheetId="47"/>
      <sheetData sheetId="48">
        <row r="8">
          <cell r="A8" t="str">
            <v>92-558 J</v>
          </cell>
          <cell r="B8">
            <v>34639</v>
          </cell>
          <cell r="C8">
            <v>-4.9500000000000002E-2</v>
          </cell>
          <cell r="D8">
            <v>-4.9500000000000002E-2</v>
          </cell>
          <cell r="E8">
            <v>-1.5300000000000001E-2</v>
          </cell>
          <cell r="K8" t="str">
            <v>92-558 J</v>
          </cell>
        </row>
        <row r="9">
          <cell r="A9" t="str">
            <v>92-558 K</v>
          </cell>
          <cell r="B9">
            <v>34669</v>
          </cell>
          <cell r="C9">
            <v>0</v>
          </cell>
          <cell r="D9">
            <v>0</v>
          </cell>
          <cell r="E9">
            <v>0</v>
          </cell>
          <cell r="K9" t="str">
            <v>92-558 K</v>
          </cell>
        </row>
        <row r="10">
          <cell r="A10" t="str">
            <v>92-558 L</v>
          </cell>
          <cell r="B10">
            <v>34700</v>
          </cell>
          <cell r="C10">
            <v>0</v>
          </cell>
          <cell r="D10">
            <v>0</v>
          </cell>
          <cell r="E10">
            <v>0</v>
          </cell>
          <cell r="K10" t="str">
            <v>92-558 L</v>
          </cell>
        </row>
        <row r="11">
          <cell r="A11" t="str">
            <v>92-558 M</v>
          </cell>
          <cell r="B11">
            <v>34731</v>
          </cell>
          <cell r="C11">
            <v>-9.11E-2</v>
          </cell>
          <cell r="D11">
            <v>-9.11E-2</v>
          </cell>
          <cell r="E11">
            <v>-3.6299999999999999E-2</v>
          </cell>
          <cell r="K11" t="str">
            <v>92-558 M</v>
          </cell>
        </row>
        <row r="12">
          <cell r="A12" t="str">
            <v>92-558 N</v>
          </cell>
          <cell r="B12">
            <v>34759</v>
          </cell>
          <cell r="C12">
            <v>0</v>
          </cell>
          <cell r="D12">
            <v>0</v>
          </cell>
          <cell r="E12">
            <v>0</v>
          </cell>
          <cell r="K12" t="str">
            <v>92-558 N</v>
          </cell>
        </row>
        <row r="13">
          <cell r="A13" t="str">
            <v>92-558 O</v>
          </cell>
          <cell r="B13">
            <v>34790</v>
          </cell>
          <cell r="C13">
            <v>-3.44E-2</v>
          </cell>
          <cell r="D13">
            <v>-3.44E-2</v>
          </cell>
          <cell r="E13">
            <v>-9.9000000000000008E-3</v>
          </cell>
          <cell r="K13" t="str">
            <v>92-558 O</v>
          </cell>
        </row>
        <row r="14">
          <cell r="A14" t="str">
            <v>92-558 P</v>
          </cell>
          <cell r="B14">
            <v>34820</v>
          </cell>
          <cell r="C14">
            <v>0</v>
          </cell>
          <cell r="D14">
            <v>0</v>
          </cell>
          <cell r="E14">
            <v>0</v>
          </cell>
          <cell r="K14" t="str">
            <v>92-558 P</v>
          </cell>
        </row>
        <row r="15">
          <cell r="A15" t="str">
            <v>92-558 Q</v>
          </cell>
          <cell r="B15">
            <v>34851</v>
          </cell>
          <cell r="C15">
            <v>0</v>
          </cell>
          <cell r="D15">
            <v>0</v>
          </cell>
          <cell r="E15">
            <v>0</v>
          </cell>
          <cell r="K15" t="str">
            <v>92-558 Q</v>
          </cell>
        </row>
        <row r="16">
          <cell r="A16" t="str">
            <v>92-558 R</v>
          </cell>
          <cell r="B16">
            <v>34881</v>
          </cell>
          <cell r="C16">
            <v>-5.5500000000000001E-2</v>
          </cell>
          <cell r="D16">
            <v>-5.5500000000000001E-2</v>
          </cell>
          <cell r="E16">
            <v>-5.5500000000000001E-2</v>
          </cell>
          <cell r="K16" t="str">
            <v>92-558 R</v>
          </cell>
        </row>
        <row r="17">
          <cell r="A17" t="str">
            <v>92-558 S</v>
          </cell>
          <cell r="B17">
            <v>34912</v>
          </cell>
          <cell r="C17">
            <v>0</v>
          </cell>
          <cell r="D17">
            <v>0</v>
          </cell>
          <cell r="E17">
            <v>0</v>
          </cell>
          <cell r="K17" t="str">
            <v>92-558 S</v>
          </cell>
        </row>
        <row r="18">
          <cell r="A18" t="str">
            <v>95-010</v>
          </cell>
          <cell r="B18">
            <v>34943</v>
          </cell>
          <cell r="C18">
            <v>-3.2300000000000002E-2</v>
          </cell>
          <cell r="D18">
            <v>-3.2300000000000002E-2</v>
          </cell>
          <cell r="E18">
            <v>-9.1999999999999998E-3</v>
          </cell>
          <cell r="K18" t="str">
            <v>95-010</v>
          </cell>
        </row>
        <row r="19">
          <cell r="A19" t="str">
            <v>95-010 A</v>
          </cell>
          <cell r="B19">
            <v>34999</v>
          </cell>
          <cell r="C19">
            <v>0</v>
          </cell>
          <cell r="D19">
            <v>0</v>
          </cell>
          <cell r="E19">
            <v>0</v>
          </cell>
          <cell r="G19">
            <v>-0.26279999999999998</v>
          </cell>
          <cell r="H19">
            <v>-0.26279999999999998</v>
          </cell>
          <cell r="I19">
            <v>-0.12619999999999998</v>
          </cell>
          <cell r="K19" t="str">
            <v>95-010 A</v>
          </cell>
        </row>
        <row r="20">
          <cell r="A20" t="str">
            <v>95-010 B</v>
          </cell>
          <cell r="B20">
            <v>35004</v>
          </cell>
          <cell r="C20">
            <v>0</v>
          </cell>
          <cell r="D20">
            <v>0</v>
          </cell>
          <cell r="E20">
            <v>0</v>
          </cell>
          <cell r="G20">
            <v>-0.21329999999999999</v>
          </cell>
          <cell r="H20">
            <v>-0.21329999999999999</v>
          </cell>
          <cell r="I20">
            <v>-0.1109</v>
          </cell>
          <cell r="K20" t="str">
            <v>95-010 B</v>
          </cell>
        </row>
        <row r="21">
          <cell r="A21" t="str">
            <v>95-010 C</v>
          </cell>
          <cell r="B21">
            <v>35034</v>
          </cell>
          <cell r="C21">
            <v>-2.7000000000000001E-3</v>
          </cell>
          <cell r="D21">
            <v>-2.7000000000000001E-3</v>
          </cell>
          <cell r="E21">
            <v>-2.2000000000000001E-3</v>
          </cell>
          <cell r="G21">
            <v>-0.216</v>
          </cell>
          <cell r="H21">
            <v>-0.216</v>
          </cell>
          <cell r="I21">
            <v>-0.11309999999999999</v>
          </cell>
          <cell r="K21" t="str">
            <v>95-010 C</v>
          </cell>
        </row>
        <row r="22">
          <cell r="A22" t="str">
            <v>95-010 D</v>
          </cell>
          <cell r="B22">
            <v>35065</v>
          </cell>
          <cell r="C22">
            <v>0</v>
          </cell>
          <cell r="D22">
            <v>0</v>
          </cell>
          <cell r="E22">
            <v>0</v>
          </cell>
          <cell r="G22">
            <v>-0.216</v>
          </cell>
          <cell r="H22">
            <v>-0.216</v>
          </cell>
          <cell r="I22">
            <v>-0.11309999999999999</v>
          </cell>
          <cell r="K22" t="str">
            <v>95-010 D</v>
          </cell>
        </row>
        <row r="23">
          <cell r="A23" t="str">
            <v>95-010 E</v>
          </cell>
          <cell r="B23">
            <v>35096</v>
          </cell>
          <cell r="C23">
            <v>0</v>
          </cell>
          <cell r="D23">
            <v>0</v>
          </cell>
          <cell r="E23">
            <v>0</v>
          </cell>
          <cell r="G23">
            <v>-0.1249</v>
          </cell>
          <cell r="H23">
            <v>-0.1249</v>
          </cell>
          <cell r="I23">
            <v>-7.6799999999999993E-2</v>
          </cell>
          <cell r="K23" t="str">
            <v>95-010 E</v>
          </cell>
        </row>
        <row r="24">
          <cell r="A24" t="str">
            <v>95-010 F</v>
          </cell>
          <cell r="B24">
            <v>35125</v>
          </cell>
          <cell r="C24">
            <v>0</v>
          </cell>
          <cell r="D24">
            <v>0</v>
          </cell>
          <cell r="E24">
            <v>0</v>
          </cell>
          <cell r="G24">
            <v>-0.1249</v>
          </cell>
          <cell r="H24">
            <v>-0.1249</v>
          </cell>
          <cell r="I24">
            <v>-7.6799999999999993E-2</v>
          </cell>
          <cell r="K24" t="str">
            <v>95-010 F</v>
          </cell>
        </row>
        <row r="25">
          <cell r="A25" t="str">
            <v>95-010 G</v>
          </cell>
          <cell r="B25">
            <v>35156</v>
          </cell>
          <cell r="C25">
            <v>0</v>
          </cell>
          <cell r="D25">
            <v>0</v>
          </cell>
          <cell r="E25">
            <v>0</v>
          </cell>
          <cell r="G25">
            <v>-9.0499999999999997E-2</v>
          </cell>
          <cell r="H25">
            <v>-9.0499999999999997E-2</v>
          </cell>
          <cell r="I25">
            <v>-6.6900000000000001E-2</v>
          </cell>
          <cell r="K25" t="str">
            <v>95-010 G</v>
          </cell>
        </row>
        <row r="26">
          <cell r="A26" t="str">
            <v>95-010 H</v>
          </cell>
          <cell r="B26">
            <v>35186</v>
          </cell>
          <cell r="C26">
            <v>0</v>
          </cell>
          <cell r="D26">
            <v>0</v>
          </cell>
          <cell r="E26">
            <v>0</v>
          </cell>
          <cell r="G26">
            <v>-9.0499999999999997E-2</v>
          </cell>
          <cell r="H26">
            <v>-9.0499999999999997E-2</v>
          </cell>
          <cell r="I26">
            <v>-6.6900000000000001E-2</v>
          </cell>
          <cell r="K26" t="str">
            <v>95-010 H</v>
          </cell>
        </row>
        <row r="27">
          <cell r="A27" t="str">
            <v>95-010 I</v>
          </cell>
          <cell r="B27">
            <v>35217</v>
          </cell>
          <cell r="C27">
            <v>-7.8399999999999997E-2</v>
          </cell>
          <cell r="D27">
            <v>-7.8399999999999997E-2</v>
          </cell>
          <cell r="E27">
            <v>-3.1099999999999999E-2</v>
          </cell>
          <cell r="G27">
            <v>-0.16889999999999999</v>
          </cell>
          <cell r="H27">
            <v>-0.16889999999999999</v>
          </cell>
          <cell r="I27">
            <v>-9.8000000000000004E-2</v>
          </cell>
          <cell r="K27" t="str">
            <v>95-010 I</v>
          </cell>
        </row>
        <row r="28">
          <cell r="A28" t="str">
            <v>95-010 J</v>
          </cell>
          <cell r="B28">
            <v>35247</v>
          </cell>
          <cell r="C28">
            <v>-3.8E-3</v>
          </cell>
          <cell r="D28">
            <v>-3.8E-3</v>
          </cell>
          <cell r="E28">
            <v>-2.0999999999999999E-3</v>
          </cell>
          <cell r="G28">
            <v>-0.1172</v>
          </cell>
          <cell r="H28">
            <v>-0.1172</v>
          </cell>
          <cell r="I28">
            <v>-4.4599999999999994E-2</v>
          </cell>
          <cell r="K28" t="str">
            <v>95-010 J</v>
          </cell>
        </row>
        <row r="29">
          <cell r="A29" t="str">
            <v>95-010 K</v>
          </cell>
          <cell r="B29">
            <v>35278</v>
          </cell>
          <cell r="C29">
            <v>0</v>
          </cell>
          <cell r="D29">
            <v>0</v>
          </cell>
          <cell r="E29">
            <v>0</v>
          </cell>
          <cell r="G29">
            <v>-0.1172</v>
          </cell>
          <cell r="H29">
            <v>-0.1172</v>
          </cell>
          <cell r="I29">
            <v>-4.4599999999999994E-2</v>
          </cell>
          <cell r="K29" t="str">
            <v>95-010 K</v>
          </cell>
        </row>
        <row r="30">
          <cell r="A30" t="str">
            <v>95-010 L</v>
          </cell>
          <cell r="B30">
            <v>35309</v>
          </cell>
          <cell r="C30">
            <v>0</v>
          </cell>
          <cell r="D30">
            <v>0</v>
          </cell>
          <cell r="E30">
            <v>0</v>
          </cell>
          <cell r="G30">
            <v>-8.4899999999999989E-2</v>
          </cell>
          <cell r="H30">
            <v>-8.4899999999999989E-2</v>
          </cell>
          <cell r="I30">
            <v>-3.5399999999999994E-2</v>
          </cell>
          <cell r="K30" t="str">
            <v>95-010 L</v>
          </cell>
        </row>
        <row r="31">
          <cell r="A31" t="str">
            <v>95-010 M</v>
          </cell>
          <cell r="B31">
            <v>35339</v>
          </cell>
          <cell r="C31">
            <v>0</v>
          </cell>
          <cell r="D31">
            <v>0</v>
          </cell>
          <cell r="E31">
            <v>0</v>
          </cell>
          <cell r="G31">
            <v>-8.4899999999999989E-2</v>
          </cell>
          <cell r="H31">
            <v>-8.4899999999999989E-2</v>
          </cell>
          <cell r="I31">
            <v>-3.5399999999999994E-2</v>
          </cell>
          <cell r="K31" t="str">
            <v>95-010 M</v>
          </cell>
        </row>
        <row r="32">
          <cell r="A32" t="str">
            <v>95-010 N</v>
          </cell>
          <cell r="B32">
            <v>35370</v>
          </cell>
          <cell r="C32">
            <v>6.6E-3</v>
          </cell>
          <cell r="D32">
            <v>6.6E-3</v>
          </cell>
          <cell r="E32">
            <v>6.6E-3</v>
          </cell>
          <cell r="G32">
            <v>-7.8299999999999995E-2</v>
          </cell>
          <cell r="H32">
            <v>-7.8299999999999995E-2</v>
          </cell>
          <cell r="I32">
            <v>-2.8799999999999992E-2</v>
          </cell>
          <cell r="K32" t="str">
            <v>95-010 N</v>
          </cell>
        </row>
        <row r="33">
          <cell r="A33" t="str">
            <v>95-010 O</v>
          </cell>
          <cell r="B33">
            <v>35400</v>
          </cell>
          <cell r="C33">
            <v>0</v>
          </cell>
          <cell r="D33">
            <v>0</v>
          </cell>
          <cell r="E33">
            <v>0</v>
          </cell>
          <cell r="G33">
            <v>-7.5600000000000001E-2</v>
          </cell>
          <cell r="H33">
            <v>-7.5600000000000001E-2</v>
          </cell>
          <cell r="I33">
            <v>-2.6599999999999999E-2</v>
          </cell>
          <cell r="K33" t="str">
            <v>95-010 O</v>
          </cell>
        </row>
        <row r="34">
          <cell r="A34" t="str">
            <v>95-010 P</v>
          </cell>
          <cell r="B34">
            <v>35431</v>
          </cell>
          <cell r="C34">
            <v>0</v>
          </cell>
          <cell r="D34">
            <v>0</v>
          </cell>
          <cell r="E34">
            <v>0</v>
          </cell>
          <cell r="G34">
            <v>-7.5600000000000001E-2</v>
          </cell>
          <cell r="H34">
            <v>-7.5600000000000001E-2</v>
          </cell>
          <cell r="I34">
            <v>-2.6599999999999999E-2</v>
          </cell>
          <cell r="K34" t="str">
            <v>95-010 P</v>
          </cell>
        </row>
        <row r="35">
          <cell r="A35" t="str">
            <v>95-010 Q</v>
          </cell>
          <cell r="B35">
            <v>35462</v>
          </cell>
          <cell r="C35">
            <v>0</v>
          </cell>
          <cell r="D35">
            <v>0</v>
          </cell>
          <cell r="E35">
            <v>0</v>
          </cell>
          <cell r="G35">
            <v>-7.5600000000000001E-2</v>
          </cell>
          <cell r="H35">
            <v>-7.5600000000000001E-2</v>
          </cell>
          <cell r="I35">
            <v>-2.6599999999999999E-2</v>
          </cell>
          <cell r="K35" t="str">
            <v>95-010 Q</v>
          </cell>
        </row>
        <row r="36">
          <cell r="A36" t="str">
            <v>95-010 R</v>
          </cell>
          <cell r="B36">
            <v>35490</v>
          </cell>
          <cell r="C36">
            <v>0</v>
          </cell>
          <cell r="D36">
            <v>0</v>
          </cell>
          <cell r="E36">
            <v>0</v>
          </cell>
          <cell r="G36">
            <v>-7.5600000000000001E-2</v>
          </cell>
          <cell r="H36">
            <v>-7.5600000000000001E-2</v>
          </cell>
          <cell r="I36">
            <v>-2.6599999999999999E-2</v>
          </cell>
          <cell r="K36" t="str">
            <v>95-010 R</v>
          </cell>
        </row>
        <row r="37">
          <cell r="A37" t="str">
            <v>95-010 S</v>
          </cell>
          <cell r="B37">
            <v>35521</v>
          </cell>
          <cell r="C37">
            <v>0</v>
          </cell>
          <cell r="D37">
            <v>0</v>
          </cell>
          <cell r="E37">
            <v>0</v>
          </cell>
          <cell r="G37">
            <v>-7.5600000000000001E-2</v>
          </cell>
          <cell r="H37">
            <v>-7.5600000000000001E-2</v>
          </cell>
          <cell r="I37">
            <v>-2.6599999999999999E-2</v>
          </cell>
          <cell r="K37" t="str">
            <v>95-010 S</v>
          </cell>
        </row>
        <row r="38">
          <cell r="A38" t="str">
            <v>95-010 T</v>
          </cell>
          <cell r="B38">
            <v>35551</v>
          </cell>
          <cell r="C38">
            <v>0</v>
          </cell>
          <cell r="D38">
            <v>0</v>
          </cell>
          <cell r="E38">
            <v>0</v>
          </cell>
          <cell r="G38">
            <v>-7.5600000000000001E-2</v>
          </cell>
          <cell r="H38">
            <v>-7.5600000000000001E-2</v>
          </cell>
          <cell r="I38">
            <v>-2.6599999999999999E-2</v>
          </cell>
          <cell r="K38" t="str">
            <v>95-010 T</v>
          </cell>
        </row>
        <row r="39">
          <cell r="A39" t="str">
            <v>95-010 U</v>
          </cell>
          <cell r="B39">
            <v>35582</v>
          </cell>
          <cell r="C39">
            <v>-5.1599999999999993E-2</v>
          </cell>
          <cell r="D39">
            <v>-5.1599999999999993E-2</v>
          </cell>
          <cell r="E39">
            <v>-1.6299999999999999E-2</v>
          </cell>
          <cell r="G39">
            <v>-4.8799999999999996E-2</v>
          </cell>
          <cell r="H39">
            <v>-4.8799999999999996E-2</v>
          </cell>
          <cell r="I39">
            <v>-1.1799999999999998E-2</v>
          </cell>
          <cell r="K39" t="str">
            <v>95-010 U</v>
          </cell>
        </row>
        <row r="40">
          <cell r="A40" t="str">
            <v>95-010 V</v>
          </cell>
          <cell r="B40">
            <v>35612</v>
          </cell>
          <cell r="C40">
            <v>-2.9999999999999997E-4</v>
          </cell>
          <cell r="D40">
            <v>-2.9999999999999997E-4</v>
          </cell>
          <cell r="E40">
            <v>-2.9999999999999997E-4</v>
          </cell>
          <cell r="G40">
            <v>-4.5299999999999993E-2</v>
          </cell>
          <cell r="H40">
            <v>-4.5299999999999993E-2</v>
          </cell>
          <cell r="I40">
            <v>-9.9999999999999985E-3</v>
          </cell>
          <cell r="K40" t="str">
            <v>95-010 V</v>
          </cell>
        </row>
        <row r="41">
          <cell r="A41" t="str">
            <v>95-010 W</v>
          </cell>
          <cell r="B41">
            <v>35643</v>
          </cell>
          <cell r="C41">
            <v>0</v>
          </cell>
          <cell r="D41">
            <v>0</v>
          </cell>
          <cell r="E41">
            <v>0</v>
          </cell>
          <cell r="G41">
            <v>-4.5299999999999993E-2</v>
          </cell>
          <cell r="H41">
            <v>-4.5299999999999993E-2</v>
          </cell>
          <cell r="I41">
            <v>-9.9999999999999985E-3</v>
          </cell>
          <cell r="K41" t="str">
            <v>95-010 W</v>
          </cell>
        </row>
        <row r="42">
          <cell r="A42" t="str">
            <v>95-010 X</v>
          </cell>
          <cell r="B42">
            <v>35674</v>
          </cell>
          <cell r="C42">
            <v>0</v>
          </cell>
          <cell r="D42">
            <v>0</v>
          </cell>
          <cell r="E42">
            <v>0</v>
          </cell>
          <cell r="G42">
            <v>-4.5299999999999993E-2</v>
          </cell>
          <cell r="H42">
            <v>-4.5299999999999993E-2</v>
          </cell>
          <cell r="I42">
            <v>-9.9999999999999985E-3</v>
          </cell>
          <cell r="K42" t="str">
            <v>95-010 X</v>
          </cell>
        </row>
        <row r="43">
          <cell r="A43" t="str">
            <v>95-010 Y</v>
          </cell>
          <cell r="B43">
            <v>35704</v>
          </cell>
          <cell r="C43">
            <v>0</v>
          </cell>
          <cell r="D43">
            <v>0</v>
          </cell>
          <cell r="E43">
            <v>0</v>
          </cell>
          <cell r="G43">
            <v>-4.5299999999999993E-2</v>
          </cell>
          <cell r="H43">
            <v>-4.5299999999999993E-2</v>
          </cell>
          <cell r="I43">
            <v>-9.9999999999999985E-3</v>
          </cell>
          <cell r="K43" t="str">
            <v>95-010 Y</v>
          </cell>
        </row>
        <row r="44">
          <cell r="A44" t="str">
            <v>95-010 Z</v>
          </cell>
          <cell r="B44">
            <v>35735</v>
          </cell>
          <cell r="C44">
            <v>0</v>
          </cell>
          <cell r="D44">
            <v>0</v>
          </cell>
          <cell r="E44">
            <v>0</v>
          </cell>
          <cell r="G44">
            <v>-5.1899999999999995E-2</v>
          </cell>
          <cell r="H44">
            <v>-5.1899999999999995E-2</v>
          </cell>
          <cell r="I44">
            <v>-1.66E-2</v>
          </cell>
          <cell r="K44" t="str">
            <v>95-010 Z</v>
          </cell>
        </row>
        <row r="45">
          <cell r="A45" t="str">
            <v>95-010 AA</v>
          </cell>
          <cell r="B45">
            <v>35765</v>
          </cell>
          <cell r="C45">
            <v>0</v>
          </cell>
          <cell r="D45">
            <v>0</v>
          </cell>
          <cell r="E45">
            <v>0</v>
          </cell>
          <cell r="G45">
            <v>-5.1899999999999995E-2</v>
          </cell>
          <cell r="H45">
            <v>-5.1899999999999995E-2</v>
          </cell>
          <cell r="I45">
            <v>-1.66E-2</v>
          </cell>
          <cell r="K45" t="str">
            <v>95-010 AA</v>
          </cell>
        </row>
        <row r="46">
          <cell r="A46" t="str">
            <v>95-010 BB</v>
          </cell>
          <cell r="B46">
            <v>35796</v>
          </cell>
          <cell r="C46">
            <v>0</v>
          </cell>
          <cell r="D46">
            <v>0</v>
          </cell>
          <cell r="E46">
            <v>0</v>
          </cell>
          <cell r="G46">
            <v>-5.1899999999999995E-2</v>
          </cell>
          <cell r="H46">
            <v>-5.1899999999999995E-2</v>
          </cell>
          <cell r="I46">
            <v>-1.66E-2</v>
          </cell>
          <cell r="K46" t="str">
            <v>95-010 BB</v>
          </cell>
        </row>
        <row r="47">
          <cell r="A47" t="str">
            <v>95-010 CC</v>
          </cell>
          <cell r="B47">
            <v>35827</v>
          </cell>
          <cell r="C47">
            <v>-1.6000000000000001E-3</v>
          </cell>
          <cell r="D47">
            <v>-1.6000000000000001E-3</v>
          </cell>
          <cell r="E47">
            <v>-1.6000000000000001E-3</v>
          </cell>
          <cell r="G47">
            <v>-5.3499999999999992E-2</v>
          </cell>
          <cell r="H47">
            <v>-5.3499999999999992E-2</v>
          </cell>
          <cell r="I47">
            <v>-1.8200000000000001E-2</v>
          </cell>
          <cell r="K47" t="str">
            <v>95-010 CC</v>
          </cell>
        </row>
        <row r="48">
          <cell r="A48" t="str">
            <v>95-010 DD</v>
          </cell>
          <cell r="B48">
            <v>35855</v>
          </cell>
          <cell r="C48">
            <v>0</v>
          </cell>
          <cell r="D48">
            <v>0</v>
          </cell>
          <cell r="E48">
            <v>0</v>
          </cell>
          <cell r="G48">
            <v>-5.3499999999999992E-2</v>
          </cell>
          <cell r="H48">
            <v>-5.3499999999999992E-2</v>
          </cell>
          <cell r="I48">
            <v>-1.8200000000000001E-2</v>
          </cell>
          <cell r="K48" t="str">
            <v>95-010 DD</v>
          </cell>
        </row>
        <row r="49">
          <cell r="A49" t="str">
            <v>95-010 EE</v>
          </cell>
          <cell r="B49">
            <v>35886</v>
          </cell>
          <cell r="C49">
            <v>0</v>
          </cell>
          <cell r="D49">
            <v>0</v>
          </cell>
          <cell r="E49">
            <v>0</v>
          </cell>
          <cell r="G49">
            <v>-5.3499999999999992E-2</v>
          </cell>
          <cell r="H49">
            <v>-5.3499999999999992E-2</v>
          </cell>
          <cell r="I49">
            <v>-1.8200000000000001E-2</v>
          </cell>
          <cell r="K49" t="str">
            <v>95-010 EE</v>
          </cell>
        </row>
        <row r="50">
          <cell r="A50" t="str">
            <v>95-010 FF</v>
          </cell>
          <cell r="B50">
            <v>35916</v>
          </cell>
          <cell r="C50">
            <v>0</v>
          </cell>
          <cell r="D50">
            <v>0</v>
          </cell>
          <cell r="E50">
            <v>0</v>
          </cell>
          <cell r="G50">
            <v>-5.3499999999999992E-2</v>
          </cell>
          <cell r="H50">
            <v>-5.3499999999999992E-2</v>
          </cell>
          <cell r="I50">
            <v>-1.8200000000000001E-2</v>
          </cell>
          <cell r="K50" t="str">
            <v>95-010 FF</v>
          </cell>
        </row>
        <row r="51">
          <cell r="A51" t="str">
            <v>95-010 GG</v>
          </cell>
          <cell r="B51">
            <v>35947</v>
          </cell>
          <cell r="C51">
            <v>0</v>
          </cell>
          <cell r="D51">
            <v>0</v>
          </cell>
          <cell r="E51">
            <v>0</v>
          </cell>
          <cell r="G51">
            <v>-1.9E-3</v>
          </cell>
          <cell r="H51">
            <v>-1.9E-3</v>
          </cell>
          <cell r="I51">
            <v>-1.9E-3</v>
          </cell>
          <cell r="K51" t="str">
            <v>95-010 GG</v>
          </cell>
        </row>
        <row r="52">
          <cell r="A52" t="str">
            <v>95-010 HH</v>
          </cell>
          <cell r="B52">
            <v>35977</v>
          </cell>
          <cell r="C52">
            <v>-9.4999999999999998E-3</v>
          </cell>
          <cell r="D52">
            <v>-9.4999999999999998E-3</v>
          </cell>
          <cell r="E52">
            <v>-7.3000000000000001E-3</v>
          </cell>
          <cell r="G52">
            <v>-1.11E-2</v>
          </cell>
          <cell r="H52">
            <v>-1.11E-2</v>
          </cell>
          <cell r="I52">
            <v>-8.8999999999999999E-3</v>
          </cell>
          <cell r="K52" t="str">
            <v>95-010 HH</v>
          </cell>
        </row>
        <row r="53">
          <cell r="A53" t="str">
            <v>95-010 II</v>
          </cell>
          <cell r="B53">
            <v>36008</v>
          </cell>
          <cell r="C53">
            <v>0</v>
          </cell>
          <cell r="D53">
            <v>0</v>
          </cell>
          <cell r="E53">
            <v>0</v>
          </cell>
          <cell r="G53">
            <v>-1.11E-2</v>
          </cell>
          <cell r="H53">
            <v>-1.11E-2</v>
          </cell>
          <cell r="I53">
            <v>-8.8999999999999999E-3</v>
          </cell>
          <cell r="K53" t="str">
            <v>95-010 II</v>
          </cell>
        </row>
        <row r="54">
          <cell r="A54" t="str">
            <v>95-010 JJ</v>
          </cell>
          <cell r="B54">
            <v>36039</v>
          </cell>
          <cell r="C54">
            <v>0</v>
          </cell>
          <cell r="D54">
            <v>0</v>
          </cell>
          <cell r="E54">
            <v>0</v>
          </cell>
          <cell r="G54">
            <v>-1.11E-2</v>
          </cell>
          <cell r="H54">
            <v>-1.11E-2</v>
          </cell>
          <cell r="I54">
            <v>-8.8999999999999999E-3</v>
          </cell>
          <cell r="K54" t="str">
            <v>95-010 JJ</v>
          </cell>
        </row>
        <row r="55">
          <cell r="A55" t="str">
            <v>95-010 KK</v>
          </cell>
          <cell r="B55">
            <v>36069</v>
          </cell>
          <cell r="C55">
            <v>-1.2999999999999999E-2</v>
          </cell>
          <cell r="D55">
            <v>-1.2999999999999999E-2</v>
          </cell>
          <cell r="E55">
            <v>-1.2999999999999999E-2</v>
          </cell>
          <cell r="G55">
            <v>-2.41E-2</v>
          </cell>
          <cell r="H55">
            <v>-2.41E-2</v>
          </cell>
          <cell r="I55">
            <v>-2.1899999999999999E-2</v>
          </cell>
          <cell r="K55" t="str">
            <v>95-010 KK</v>
          </cell>
        </row>
        <row r="56">
          <cell r="A56" t="str">
            <v>95-010 LL</v>
          </cell>
          <cell r="B56">
            <v>36100</v>
          </cell>
          <cell r="C56">
            <v>0</v>
          </cell>
          <cell r="D56">
            <v>0</v>
          </cell>
          <cell r="E56">
            <v>0</v>
          </cell>
          <cell r="G56">
            <v>-2.41E-2</v>
          </cell>
          <cell r="H56">
            <v>-2.41E-2</v>
          </cell>
          <cell r="I56">
            <v>-2.1899999999999999E-2</v>
          </cell>
          <cell r="K56" t="str">
            <v>95-010 LL</v>
          </cell>
        </row>
        <row r="57">
          <cell r="A57" t="str">
            <v>95-010 MM</v>
          </cell>
          <cell r="B57">
            <v>36130</v>
          </cell>
          <cell r="C57">
            <v>0</v>
          </cell>
          <cell r="D57">
            <v>0</v>
          </cell>
          <cell r="E57">
            <v>0</v>
          </cell>
          <cell r="G57">
            <v>-2.41E-2</v>
          </cell>
          <cell r="H57">
            <v>-2.41E-2</v>
          </cell>
          <cell r="I57">
            <v>-2.1899999999999999E-2</v>
          </cell>
          <cell r="K57" t="str">
            <v>95-010 MM</v>
          </cell>
        </row>
        <row r="58">
          <cell r="A58" t="str">
            <v>95-010 NN</v>
          </cell>
          <cell r="B58">
            <v>36161</v>
          </cell>
          <cell r="C58">
            <v>0</v>
          </cell>
          <cell r="D58">
            <v>0</v>
          </cell>
          <cell r="E58">
            <v>0</v>
          </cell>
          <cell r="G58">
            <v>-2.41E-2</v>
          </cell>
          <cell r="H58">
            <v>-2.41E-2</v>
          </cell>
          <cell r="I58">
            <v>-2.1899999999999999E-2</v>
          </cell>
          <cell r="K58" t="str">
            <v>95-010 NN</v>
          </cell>
        </row>
        <row r="59">
          <cell r="A59" t="str">
            <v>95-010 OO</v>
          </cell>
          <cell r="B59">
            <v>36192</v>
          </cell>
          <cell r="C59">
            <v>0</v>
          </cell>
          <cell r="D59">
            <v>0</v>
          </cell>
          <cell r="E59">
            <v>0</v>
          </cell>
          <cell r="G59">
            <v>-2.2499999999999999E-2</v>
          </cell>
          <cell r="H59">
            <v>-2.2499999999999999E-2</v>
          </cell>
          <cell r="I59">
            <v>-2.0299999999999999E-2</v>
          </cell>
          <cell r="K59" t="str">
            <v>95-010 OO</v>
          </cell>
        </row>
        <row r="60">
          <cell r="A60" t="str">
            <v>95-010 PP</v>
          </cell>
          <cell r="B60">
            <v>36220</v>
          </cell>
          <cell r="C60">
            <v>0</v>
          </cell>
          <cell r="D60">
            <v>0</v>
          </cell>
          <cell r="E60">
            <v>0</v>
          </cell>
          <cell r="G60">
            <v>-2.2499999999999999E-2</v>
          </cell>
          <cell r="H60">
            <v>-2.2499999999999999E-2</v>
          </cell>
          <cell r="I60">
            <v>-2.0299999999999999E-2</v>
          </cell>
          <cell r="K60" t="str">
            <v>95-010 PP</v>
          </cell>
        </row>
        <row r="61">
          <cell r="A61" t="str">
            <v>95-010 QQ</v>
          </cell>
          <cell r="B61">
            <v>36251</v>
          </cell>
          <cell r="C61">
            <v>-4.2900000000000001E-2</v>
          </cell>
          <cell r="D61">
            <v>-4.2900000000000001E-2</v>
          </cell>
          <cell r="E61">
            <v>-1.2700000000000001E-2</v>
          </cell>
          <cell r="G61">
            <v>-6.54E-2</v>
          </cell>
          <cell r="H61">
            <v>-6.54E-2</v>
          </cell>
          <cell r="I61">
            <v>-3.3000000000000002E-2</v>
          </cell>
          <cell r="K61" t="str">
            <v>95-010 QQ</v>
          </cell>
        </row>
        <row r="62">
          <cell r="A62" t="str">
            <v>95-010 RR</v>
          </cell>
          <cell r="B62">
            <v>36281</v>
          </cell>
          <cell r="C62">
            <v>0</v>
          </cell>
          <cell r="D62">
            <v>0</v>
          </cell>
          <cell r="E62">
            <v>0</v>
          </cell>
          <cell r="G62">
            <v>-6.54E-2</v>
          </cell>
          <cell r="H62">
            <v>-6.54E-2</v>
          </cell>
          <cell r="I62">
            <v>-3.3000000000000002E-2</v>
          </cell>
          <cell r="K62" t="str">
            <v>95-010 RR</v>
          </cell>
        </row>
        <row r="63">
          <cell r="A63" t="str">
            <v>95-010 SS</v>
          </cell>
          <cell r="B63">
            <v>36312</v>
          </cell>
          <cell r="C63">
            <v>0</v>
          </cell>
          <cell r="D63">
            <v>0</v>
          </cell>
          <cell r="E63">
            <v>0</v>
          </cell>
          <cell r="G63">
            <v>-6.54E-2</v>
          </cell>
          <cell r="H63">
            <v>-6.54E-2</v>
          </cell>
          <cell r="I63">
            <v>-3.3000000000000002E-2</v>
          </cell>
          <cell r="K63" t="str">
            <v>95-010 SS</v>
          </cell>
        </row>
        <row r="64">
          <cell r="A64" t="str">
            <v>95-010 TT</v>
          </cell>
          <cell r="B64">
            <v>36342</v>
          </cell>
          <cell r="C64">
            <v>0</v>
          </cell>
          <cell r="D64">
            <v>0</v>
          </cell>
          <cell r="E64">
            <v>0</v>
          </cell>
          <cell r="G64">
            <v>-5.5899999999999998E-2</v>
          </cell>
          <cell r="H64">
            <v>-5.5899999999999998E-2</v>
          </cell>
          <cell r="I64">
            <v>-2.5700000000000001E-2</v>
          </cell>
          <cell r="K64" t="str">
            <v>95-010 TT</v>
          </cell>
        </row>
        <row r="65">
          <cell r="A65" t="str">
            <v>95-010 UU</v>
          </cell>
          <cell r="B65">
            <v>36373</v>
          </cell>
          <cell r="C65">
            <v>0</v>
          </cell>
          <cell r="D65">
            <v>0</v>
          </cell>
          <cell r="E65">
            <v>0</v>
          </cell>
          <cell r="G65">
            <v>-5.5899999999999998E-2</v>
          </cell>
          <cell r="H65">
            <v>-5.5899999999999998E-2</v>
          </cell>
          <cell r="I65">
            <v>-2.5700000000000001E-2</v>
          </cell>
          <cell r="K65" t="str">
            <v>95-010 UU</v>
          </cell>
        </row>
        <row r="66">
          <cell r="A66" t="str">
            <v>95-010 VV</v>
          </cell>
          <cell r="B66">
            <v>36404</v>
          </cell>
          <cell r="C66">
            <v>0</v>
          </cell>
          <cell r="D66">
            <v>0</v>
          </cell>
          <cell r="E66">
            <v>0</v>
          </cell>
          <cell r="G66">
            <v>-5.5899999999999998E-2</v>
          </cell>
          <cell r="H66">
            <v>-5.5899999999999998E-2</v>
          </cell>
          <cell r="I66">
            <v>-2.5700000000000001E-2</v>
          </cell>
          <cell r="K66" t="str">
            <v>95-010 VV</v>
          </cell>
        </row>
        <row r="67">
          <cell r="A67" t="str">
            <v>95-010 WW</v>
          </cell>
          <cell r="B67">
            <v>36434</v>
          </cell>
          <cell r="C67">
            <v>-2.3E-3</v>
          </cell>
          <cell r="D67">
            <v>-2.3E-3</v>
          </cell>
          <cell r="E67">
            <v>-2.3E-3</v>
          </cell>
          <cell r="G67">
            <v>-4.5200000000000004E-2</v>
          </cell>
          <cell r="H67">
            <v>-4.5200000000000004E-2</v>
          </cell>
          <cell r="I67">
            <v>-1.5000000000000001E-2</v>
          </cell>
          <cell r="K67" t="str">
            <v>95-010 WW</v>
          </cell>
        </row>
        <row r="68">
          <cell r="A68" t="str">
            <v>95-010 XX</v>
          </cell>
          <cell r="B68">
            <v>36465</v>
          </cell>
          <cell r="C68">
            <v>0</v>
          </cell>
          <cell r="D68">
            <v>0</v>
          </cell>
          <cell r="E68">
            <v>0</v>
          </cell>
          <cell r="G68">
            <v>-4.5200000000000004E-2</v>
          </cell>
          <cell r="H68">
            <v>-4.5200000000000004E-2</v>
          </cell>
          <cell r="I68">
            <v>-1.5000000000000001E-2</v>
          </cell>
          <cell r="K68" t="str">
            <v>95-010 XX</v>
          </cell>
        </row>
        <row r="69">
          <cell r="A69" t="str">
            <v>95-010 YY</v>
          </cell>
          <cell r="B69">
            <v>36495</v>
          </cell>
          <cell r="C69">
            <v>0</v>
          </cell>
          <cell r="D69">
            <v>0</v>
          </cell>
          <cell r="E69">
            <v>0</v>
          </cell>
          <cell r="G69">
            <v>-4.5200000000000004E-2</v>
          </cell>
          <cell r="H69">
            <v>-4.5200000000000004E-2</v>
          </cell>
          <cell r="I69">
            <v>-1.5000000000000001E-2</v>
          </cell>
          <cell r="K69" t="str">
            <v>95-010 YY</v>
          </cell>
        </row>
        <row r="70">
          <cell r="A70" t="str">
            <v>99-070</v>
          </cell>
          <cell r="B70">
            <v>36526</v>
          </cell>
          <cell r="C70">
            <v>-2.8E-3</v>
          </cell>
          <cell r="D70">
            <v>-2.8E-3</v>
          </cell>
          <cell r="E70">
            <v>-2.8E-3</v>
          </cell>
          <cell r="G70">
            <v>-4.8000000000000001E-2</v>
          </cell>
          <cell r="H70">
            <v>-4.8000000000000001E-2</v>
          </cell>
          <cell r="I70">
            <v>-1.78E-2</v>
          </cell>
          <cell r="K70" t="str">
            <v>99-070</v>
          </cell>
        </row>
        <row r="71">
          <cell r="A71" t="str">
            <v>99-070 A</v>
          </cell>
          <cell r="B71">
            <v>36557</v>
          </cell>
          <cell r="C71">
            <v>0</v>
          </cell>
          <cell r="D71">
            <v>0</v>
          </cell>
          <cell r="E71">
            <v>0</v>
          </cell>
          <cell r="G71">
            <v>-4.8000000000000001E-2</v>
          </cell>
          <cell r="H71">
            <v>-4.8000000000000001E-2</v>
          </cell>
          <cell r="I71">
            <v>-1.78E-2</v>
          </cell>
          <cell r="K71" t="str">
            <v>99-070 A</v>
          </cell>
        </row>
        <row r="72">
          <cell r="A72" t="str">
            <v>99-070 A</v>
          </cell>
          <cell r="B72">
            <v>36586</v>
          </cell>
          <cell r="C72">
            <v>0</v>
          </cell>
          <cell r="D72">
            <v>0</v>
          </cell>
          <cell r="E72">
            <v>0</v>
          </cell>
          <cell r="G72">
            <v>-4.8000000000000001E-2</v>
          </cell>
          <cell r="H72">
            <v>-4.8000000000000001E-2</v>
          </cell>
          <cell r="I72">
            <v>-1.78E-2</v>
          </cell>
          <cell r="K72" t="str">
            <v>99-070 A</v>
          </cell>
        </row>
        <row r="73">
          <cell r="A73" t="str">
            <v>1999-070 B</v>
          </cell>
          <cell r="B73">
            <v>36617</v>
          </cell>
          <cell r="C73">
            <v>0</v>
          </cell>
          <cell r="D73">
            <v>0</v>
          </cell>
          <cell r="E73">
            <v>0</v>
          </cell>
          <cell r="G73">
            <v>-5.1000000000000004E-3</v>
          </cell>
          <cell r="H73">
            <v>-5.1000000000000004E-3</v>
          </cell>
          <cell r="I73">
            <v>-5.1000000000000004E-3</v>
          </cell>
          <cell r="K73" t="str">
            <v>1999-070 B</v>
          </cell>
        </row>
        <row r="74">
          <cell r="A74" t="str">
            <v>1999-070 C</v>
          </cell>
          <cell r="B74">
            <v>36647</v>
          </cell>
          <cell r="C74">
            <v>0</v>
          </cell>
          <cell r="D74">
            <v>0</v>
          </cell>
          <cell r="E74">
            <v>0</v>
          </cell>
          <cell r="G74">
            <v>-5.1000000000000004E-3</v>
          </cell>
          <cell r="H74">
            <v>-5.1000000000000004E-3</v>
          </cell>
          <cell r="I74">
            <v>-5.1000000000000004E-3</v>
          </cell>
          <cell r="K74" t="str">
            <v>1999-070 C</v>
          </cell>
        </row>
        <row r="75">
          <cell r="A75" t="str">
            <v>1999-070 C</v>
          </cell>
          <cell r="B75">
            <v>36678</v>
          </cell>
          <cell r="C75">
            <v>0</v>
          </cell>
          <cell r="D75">
            <v>0</v>
          </cell>
          <cell r="E75">
            <v>0</v>
          </cell>
          <cell r="G75">
            <v>-5.1000000000000004E-3</v>
          </cell>
          <cell r="H75">
            <v>-5.1000000000000004E-3</v>
          </cell>
          <cell r="I75">
            <v>-5.1000000000000004E-3</v>
          </cell>
          <cell r="K75" t="str">
            <v>1999-070 C</v>
          </cell>
        </row>
        <row r="76">
          <cell r="A76" t="str">
            <v>1999-070 D</v>
          </cell>
          <cell r="B76">
            <v>36708</v>
          </cell>
          <cell r="C76">
            <v>0</v>
          </cell>
          <cell r="D76">
            <v>0</v>
          </cell>
          <cell r="E76">
            <v>0</v>
          </cell>
          <cell r="G76">
            <v>-5.1000000000000004E-3</v>
          </cell>
          <cell r="H76">
            <v>-5.1000000000000004E-3</v>
          </cell>
          <cell r="I76">
            <v>-5.1000000000000004E-3</v>
          </cell>
          <cell r="K76" t="str">
            <v>1999-070 D</v>
          </cell>
        </row>
        <row r="77">
          <cell r="A77" t="str">
            <v>1999-070 E</v>
          </cell>
          <cell r="B77">
            <v>36739</v>
          </cell>
          <cell r="C77">
            <v>-1.17E-2</v>
          </cell>
          <cell r="D77">
            <v>-1.17E-2</v>
          </cell>
          <cell r="E77">
            <v>-1.17E-2</v>
          </cell>
          <cell r="G77">
            <v>-1.6800000000000002E-2</v>
          </cell>
          <cell r="H77">
            <v>-1.6800000000000002E-2</v>
          </cell>
          <cell r="I77">
            <v>-1.6800000000000002E-2</v>
          </cell>
          <cell r="K77" t="str">
            <v>1999-070 E</v>
          </cell>
        </row>
        <row r="78">
          <cell r="A78" t="str">
            <v>1999-070 E*</v>
          </cell>
          <cell r="B78">
            <v>36770</v>
          </cell>
          <cell r="C78">
            <v>0</v>
          </cell>
          <cell r="D78">
            <v>0</v>
          </cell>
          <cell r="E78">
            <v>0</v>
          </cell>
          <cell r="G78">
            <v>-1.6800000000000002E-2</v>
          </cell>
          <cell r="H78">
            <v>-1.6800000000000002E-2</v>
          </cell>
          <cell r="I78">
            <v>-1.6800000000000002E-2</v>
          </cell>
          <cell r="K78" t="str">
            <v>1999-070 E*</v>
          </cell>
        </row>
        <row r="79">
          <cell r="A79" t="str">
            <v>1999-070 F</v>
          </cell>
          <cell r="B79">
            <v>36800</v>
          </cell>
          <cell r="C79">
            <v>0</v>
          </cell>
          <cell r="D79">
            <v>0</v>
          </cell>
          <cell r="E79">
            <v>0</v>
          </cell>
          <cell r="G79">
            <v>-1.4500000000000001E-2</v>
          </cell>
          <cell r="H79">
            <v>-1.4500000000000001E-2</v>
          </cell>
          <cell r="I79">
            <v>-1.4500000000000001E-2</v>
          </cell>
          <cell r="K79" t="str">
            <v>1999-070 F</v>
          </cell>
        </row>
        <row r="80">
          <cell r="A80" t="str">
            <v>1999-070 G</v>
          </cell>
          <cell r="B80">
            <v>36831</v>
          </cell>
          <cell r="C80">
            <v>0</v>
          </cell>
          <cell r="D80">
            <v>0</v>
          </cell>
          <cell r="E80">
            <v>0</v>
          </cell>
          <cell r="G80">
            <v>-1.4500000000000001E-2</v>
          </cell>
          <cell r="H80">
            <v>-1.4500000000000001E-2</v>
          </cell>
          <cell r="I80">
            <v>-1.4500000000000001E-2</v>
          </cell>
          <cell r="K80" t="str">
            <v>1999-070 G</v>
          </cell>
        </row>
        <row r="81">
          <cell r="A81" t="str">
            <v>1999-070 G*</v>
          </cell>
          <cell r="B81">
            <v>36861</v>
          </cell>
          <cell r="C81">
            <v>0</v>
          </cell>
          <cell r="D81">
            <v>0</v>
          </cell>
          <cell r="E81">
            <v>0</v>
          </cell>
          <cell r="G81">
            <v>-1.4500000000000001E-2</v>
          </cell>
          <cell r="H81">
            <v>-1.4500000000000001E-2</v>
          </cell>
          <cell r="I81">
            <v>-1.4500000000000001E-2</v>
          </cell>
          <cell r="K81" t="str">
            <v>1999-070 G*</v>
          </cell>
        </row>
        <row r="82">
          <cell r="A82" t="str">
            <v>1999-070 G*</v>
          </cell>
          <cell r="B82">
            <v>36892</v>
          </cell>
          <cell r="C82">
            <v>0</v>
          </cell>
          <cell r="D82">
            <v>0</v>
          </cell>
          <cell r="E82">
            <v>0</v>
          </cell>
          <cell r="G82">
            <v>-1.17E-2</v>
          </cell>
          <cell r="H82">
            <v>-1.17E-2</v>
          </cell>
          <cell r="I82">
            <v>-1.17E-2</v>
          </cell>
          <cell r="K82" t="str">
            <v>1999-070 G*</v>
          </cell>
        </row>
        <row r="83">
          <cell r="A83" t="str">
            <v>1999-070 H</v>
          </cell>
          <cell r="B83">
            <v>36923</v>
          </cell>
          <cell r="C83">
            <v>0</v>
          </cell>
          <cell r="D83">
            <v>0</v>
          </cell>
          <cell r="E83">
            <v>0</v>
          </cell>
          <cell r="G83">
            <v>-1.17E-2</v>
          </cell>
          <cell r="H83">
            <v>-1.17E-2</v>
          </cell>
          <cell r="I83">
            <v>-1.17E-2</v>
          </cell>
          <cell r="K83" t="str">
            <v>1999-070 H</v>
          </cell>
        </row>
        <row r="84">
          <cell r="A84" t="str">
            <v>1999-070 I</v>
          </cell>
          <cell r="B84">
            <v>36951</v>
          </cell>
          <cell r="C84">
            <v>0</v>
          </cell>
          <cell r="D84">
            <v>0</v>
          </cell>
          <cell r="E84">
            <v>0</v>
          </cell>
          <cell r="G84">
            <v>-1.17E-2</v>
          </cell>
          <cell r="H84">
            <v>-1.17E-2</v>
          </cell>
          <cell r="I84">
            <v>-1.17E-2</v>
          </cell>
          <cell r="K84" t="str">
            <v>1999-070 I</v>
          </cell>
        </row>
        <row r="85">
          <cell r="A85" t="str">
            <v>1999-070 J</v>
          </cell>
          <cell r="B85">
            <v>36982</v>
          </cell>
          <cell r="C85">
            <v>0</v>
          </cell>
          <cell r="D85">
            <v>0</v>
          </cell>
          <cell r="E85">
            <v>0</v>
          </cell>
          <cell r="G85">
            <v>-1.17E-2</v>
          </cell>
          <cell r="H85">
            <v>-1.17E-2</v>
          </cell>
          <cell r="I85">
            <v>-1.17E-2</v>
          </cell>
          <cell r="K85" t="str">
            <v>1999-070 J</v>
          </cell>
        </row>
        <row r="86">
          <cell r="A86" t="str">
            <v>1999-070 K</v>
          </cell>
          <cell r="B86">
            <v>37012</v>
          </cell>
          <cell r="C86">
            <v>-5.0000000000000001E-4</v>
          </cell>
          <cell r="D86">
            <v>-5.0000000000000001E-4</v>
          </cell>
          <cell r="E86">
            <v>-5.0000000000000001E-4</v>
          </cell>
          <cell r="G86">
            <v>-1.2200000000000001E-2</v>
          </cell>
          <cell r="H86">
            <v>-1.2200000000000001E-2</v>
          </cell>
          <cell r="I86">
            <v>-1.2200000000000001E-2</v>
          </cell>
          <cell r="K86" t="str">
            <v>1999-070 K</v>
          </cell>
        </row>
        <row r="87">
          <cell r="A87" t="str">
            <v>1999-070 L</v>
          </cell>
          <cell r="B87">
            <v>37043</v>
          </cell>
          <cell r="C87">
            <v>0</v>
          </cell>
          <cell r="D87">
            <v>0</v>
          </cell>
          <cell r="E87">
            <v>0</v>
          </cell>
          <cell r="G87">
            <v>-1.2200000000000001E-2</v>
          </cell>
          <cell r="H87">
            <v>-1.2200000000000001E-2</v>
          </cell>
          <cell r="I87">
            <v>-1.2200000000000001E-2</v>
          </cell>
          <cell r="K87" t="str">
            <v>1999-070 L</v>
          </cell>
        </row>
        <row r="88">
          <cell r="A88" t="str">
            <v>1999-070 M</v>
          </cell>
          <cell r="B88">
            <v>37073</v>
          </cell>
          <cell r="C88">
            <v>0</v>
          </cell>
          <cell r="D88">
            <v>0</v>
          </cell>
          <cell r="E88">
            <v>0</v>
          </cell>
          <cell r="G88">
            <v>-1.2200000000000001E-2</v>
          </cell>
          <cell r="H88">
            <v>-1.2200000000000001E-2</v>
          </cell>
          <cell r="I88">
            <v>-1.2200000000000001E-2</v>
          </cell>
          <cell r="K88" t="str">
            <v>1999-070 M</v>
          </cell>
        </row>
        <row r="89">
          <cell r="A89" t="str">
            <v>1999-070 N</v>
          </cell>
          <cell r="B89">
            <v>37104</v>
          </cell>
          <cell r="C89">
            <v>0</v>
          </cell>
          <cell r="D89">
            <v>0</v>
          </cell>
          <cell r="E89">
            <v>0</v>
          </cell>
          <cell r="G89">
            <v>-5.0000000000000001E-4</v>
          </cell>
          <cell r="H89">
            <v>-5.0000000000000001E-4</v>
          </cell>
          <cell r="I89">
            <v>-5.0000000000000001E-4</v>
          </cell>
          <cell r="K89" t="str">
            <v>1999-070 N</v>
          </cell>
        </row>
        <row r="90">
          <cell r="A90" t="str">
            <v>1999-070 N*</v>
          </cell>
          <cell r="B90">
            <v>37104</v>
          </cell>
          <cell r="C90">
            <v>0</v>
          </cell>
          <cell r="D90">
            <v>0</v>
          </cell>
          <cell r="E90">
            <v>0</v>
          </cell>
          <cell r="G90">
            <v>-5.0000000000000001E-4</v>
          </cell>
          <cell r="H90">
            <v>-5.0000000000000001E-4</v>
          </cell>
          <cell r="I90">
            <v>-5.0000000000000001E-4</v>
          </cell>
          <cell r="K90" t="str">
            <v>1999-070 N*</v>
          </cell>
        </row>
        <row r="91">
          <cell r="A91" t="str">
            <v>1999-070 N*</v>
          </cell>
          <cell r="B91">
            <v>37104</v>
          </cell>
          <cell r="C91">
            <v>0</v>
          </cell>
          <cell r="D91">
            <v>0</v>
          </cell>
          <cell r="E91">
            <v>0</v>
          </cell>
          <cell r="G91">
            <v>-5.0000000000000001E-4</v>
          </cell>
          <cell r="H91">
            <v>-5.0000000000000001E-4</v>
          </cell>
          <cell r="I91">
            <v>-5.0000000000000001E-4</v>
          </cell>
          <cell r="K91" t="str">
            <v>1999-070 N*</v>
          </cell>
        </row>
        <row r="92">
          <cell r="A92" t="str">
            <v>1999-070 O</v>
          </cell>
          <cell r="B92">
            <v>37196</v>
          </cell>
          <cell r="C92">
            <v>-1.9E-3</v>
          </cell>
          <cell r="D92">
            <v>-1.9E-3</v>
          </cell>
          <cell r="E92">
            <v>-1.9E-3</v>
          </cell>
          <cell r="G92">
            <v>-2.4000000000000002E-3</v>
          </cell>
          <cell r="H92">
            <v>-2.4000000000000002E-3</v>
          </cell>
          <cell r="I92">
            <v>-2.4000000000000002E-3</v>
          </cell>
          <cell r="K92" t="str">
            <v>1999-070 O</v>
          </cell>
        </row>
        <row r="93">
          <cell r="A93" t="str">
            <v>1999-070 P</v>
          </cell>
          <cell r="B93">
            <v>37288</v>
          </cell>
          <cell r="C93">
            <v>0</v>
          </cell>
          <cell r="D93">
            <v>0</v>
          </cell>
          <cell r="E93">
            <v>0</v>
          </cell>
          <cell r="G93">
            <v>-2.4000000000000002E-3</v>
          </cell>
          <cell r="H93">
            <v>-2.4000000000000002E-3</v>
          </cell>
          <cell r="I93">
            <v>-2.4000000000000002E-3</v>
          </cell>
          <cell r="K93" t="str">
            <v>1999-070 P</v>
          </cell>
        </row>
        <row r="94">
          <cell r="A94" t="str">
            <v>2002-00113</v>
          </cell>
          <cell r="B94">
            <v>37377</v>
          </cell>
          <cell r="C94">
            <v>0</v>
          </cell>
          <cell r="D94">
            <v>0</v>
          </cell>
          <cell r="E94">
            <v>0</v>
          </cell>
          <cell r="G94">
            <v>-1.9E-3</v>
          </cell>
          <cell r="H94">
            <v>-1.9E-3</v>
          </cell>
          <cell r="I94">
            <v>-1.9E-3</v>
          </cell>
          <cell r="K94" t="str">
            <v>2002-00113</v>
          </cell>
        </row>
        <row r="95">
          <cell r="A95" t="str">
            <v>2002-00251</v>
          </cell>
          <cell r="B95">
            <v>37469</v>
          </cell>
          <cell r="C95">
            <v>-9.4999999999999998E-3</v>
          </cell>
          <cell r="D95">
            <v>-9.4999999999999998E-3</v>
          </cell>
          <cell r="E95">
            <v>-1.9E-3</v>
          </cell>
          <cell r="G95">
            <v>-1.14E-2</v>
          </cell>
          <cell r="H95">
            <v>-1.14E-2</v>
          </cell>
          <cell r="I95">
            <v>-3.8E-3</v>
          </cell>
          <cell r="K95" t="str">
            <v>2002-00251</v>
          </cell>
        </row>
        <row r="96">
          <cell r="A96" t="str">
            <v>2002-00359</v>
          </cell>
          <cell r="B96">
            <v>37561</v>
          </cell>
          <cell r="C96">
            <v>-0.15740000000000001</v>
          </cell>
          <cell r="D96">
            <v>-0.15740000000000001</v>
          </cell>
          <cell r="E96">
            <v>-3.9099999999999996E-2</v>
          </cell>
          <cell r="G96">
            <v>-0.16690000000000002</v>
          </cell>
          <cell r="H96">
            <v>-0.16690000000000002</v>
          </cell>
          <cell r="I96">
            <v>-4.0999999999999995E-2</v>
          </cell>
          <cell r="K96" t="str">
            <v>2002-00359</v>
          </cell>
        </row>
        <row r="97">
          <cell r="A97" t="str">
            <v>2003-00002</v>
          </cell>
          <cell r="B97">
            <v>37653</v>
          </cell>
          <cell r="C97">
            <v>0</v>
          </cell>
          <cell r="D97">
            <v>0</v>
          </cell>
          <cell r="E97">
            <v>0</v>
          </cell>
          <cell r="G97">
            <v>-0.16690000000000002</v>
          </cell>
          <cell r="H97">
            <v>-0.16690000000000002</v>
          </cell>
          <cell r="I97">
            <v>-4.0999999999999995E-2</v>
          </cell>
          <cell r="K97" t="str">
            <v>2003-00002</v>
          </cell>
        </row>
        <row r="98">
          <cell r="A98" t="str">
            <v>2003-00083</v>
          </cell>
          <cell r="B98">
            <v>37713</v>
          </cell>
          <cell r="C98">
            <v>0</v>
          </cell>
          <cell r="D98">
            <v>0</v>
          </cell>
          <cell r="E98">
            <v>0</v>
          </cell>
          <cell r="G98">
            <v>-0.16690000000000002</v>
          </cell>
          <cell r="H98">
            <v>-0.16690000000000002</v>
          </cell>
          <cell r="I98">
            <v>-4.0999999999999995E-2</v>
          </cell>
          <cell r="K98" t="str">
            <v>2003-00083</v>
          </cell>
        </row>
        <row r="99">
          <cell r="A99" t="str">
            <v>2003-00126</v>
          </cell>
          <cell r="B99">
            <v>37742</v>
          </cell>
          <cell r="C99">
            <v>0</v>
          </cell>
          <cell r="D99">
            <v>0</v>
          </cell>
          <cell r="E99">
            <v>0</v>
          </cell>
          <cell r="G99">
            <v>-0.16690000000000002</v>
          </cell>
          <cell r="H99">
            <v>-0.16690000000000002</v>
          </cell>
          <cell r="I99">
            <v>-4.0999999999999995E-2</v>
          </cell>
          <cell r="K99" t="str">
            <v>2003-00126</v>
          </cell>
        </row>
        <row r="100">
          <cell r="A100" t="str">
            <v>2003-00258</v>
          </cell>
          <cell r="B100">
            <v>37834</v>
          </cell>
          <cell r="C100">
            <v>0</v>
          </cell>
          <cell r="D100">
            <v>0</v>
          </cell>
          <cell r="E100">
            <v>0</v>
          </cell>
          <cell r="G100">
            <v>-0.15740000000000001</v>
          </cell>
          <cell r="H100">
            <v>-0.15740000000000001</v>
          </cell>
          <cell r="I100">
            <v>-3.9099999999999996E-2</v>
          </cell>
          <cell r="K100" t="str">
            <v>2003-00258</v>
          </cell>
        </row>
        <row r="101">
          <cell r="A101" t="str">
            <v>2003-00377</v>
          </cell>
          <cell r="B101">
            <v>37926</v>
          </cell>
          <cell r="C101">
            <v>-5.9999999999999995E-4</v>
          </cell>
          <cell r="D101">
            <v>-5.9999999999999995E-4</v>
          </cell>
          <cell r="E101">
            <v>-5.9999999999999995E-4</v>
          </cell>
          <cell r="G101">
            <v>-5.9999999999999995E-4</v>
          </cell>
          <cell r="H101">
            <v>-5.9999999999999995E-4</v>
          </cell>
          <cell r="I101">
            <v>-5.9999999999999995E-4</v>
          </cell>
          <cell r="K101" t="str">
            <v>2003-00377</v>
          </cell>
        </row>
        <row r="102">
          <cell r="A102" t="str">
            <v>2003-00504</v>
          </cell>
          <cell r="B102">
            <v>38018</v>
          </cell>
          <cell r="C102">
            <v>-5.9999999999999995E-4</v>
          </cell>
          <cell r="D102">
            <v>-5.9999999999999995E-4</v>
          </cell>
          <cell r="E102">
            <v>-5.9999999999999995E-4</v>
          </cell>
          <cell r="G102">
            <v>-5.9999999999999995E-4</v>
          </cell>
          <cell r="H102">
            <v>-5.9999999999999995E-4</v>
          </cell>
          <cell r="I102">
            <v>-5.9999999999999995E-4</v>
          </cell>
          <cell r="K102" t="str">
            <v>2003-00504</v>
          </cell>
        </row>
        <row r="103">
          <cell r="A103" t="str">
            <v>2004-00122</v>
          </cell>
          <cell r="B103">
            <v>38108</v>
          </cell>
          <cell r="C103">
            <v>-5.9999999999999995E-4</v>
          </cell>
          <cell r="D103">
            <v>-5.9999999999999995E-4</v>
          </cell>
          <cell r="E103">
            <v>-5.9999999999999995E-4</v>
          </cell>
          <cell r="G103">
            <v>-5.9999999999999995E-4</v>
          </cell>
          <cell r="H103">
            <v>-5.9999999999999995E-4</v>
          </cell>
          <cell r="I103">
            <v>-5.9999999999999995E-4</v>
          </cell>
          <cell r="K103" t="str">
            <v>2004-00122</v>
          </cell>
        </row>
        <row r="104">
          <cell r="A104" t="str">
            <v>2004-00269</v>
          </cell>
          <cell r="B104">
            <v>38200</v>
          </cell>
          <cell r="C104">
            <v>-4.7999999999999996E-3</v>
          </cell>
          <cell r="D104">
            <v>-4.7999999999999996E-3</v>
          </cell>
          <cell r="E104">
            <v>-4.7999999999999996E-3</v>
          </cell>
          <cell r="G104">
            <v>-5.3999999999999994E-3</v>
          </cell>
          <cell r="H104">
            <v>-5.3999999999999994E-3</v>
          </cell>
          <cell r="I104">
            <v>-5.3999999999999994E-3</v>
          </cell>
          <cell r="K104" t="str">
            <v>2004-00269</v>
          </cell>
        </row>
        <row r="105">
          <cell r="A105" t="str">
            <v>2005-00271</v>
          </cell>
          <cell r="B105">
            <v>38565</v>
          </cell>
          <cell r="C105">
            <v>0</v>
          </cell>
          <cell r="D105">
            <v>0</v>
          </cell>
          <cell r="E105">
            <v>0</v>
          </cell>
          <cell r="G105">
            <v>-4.7999999999999996E-3</v>
          </cell>
          <cell r="H105">
            <v>-4.7999999999999996E-3</v>
          </cell>
          <cell r="I105">
            <v>-4.7999999999999996E-3</v>
          </cell>
          <cell r="K105" t="str">
            <v>2005-00271</v>
          </cell>
        </row>
        <row r="106">
          <cell r="A106" t="str">
            <v>2005-00399</v>
          </cell>
          <cell r="B106">
            <v>38657</v>
          </cell>
          <cell r="C106">
            <v>-1.6999999999999999E-3</v>
          </cell>
          <cell r="D106">
            <v>-1.6999999999999999E-3</v>
          </cell>
          <cell r="E106">
            <v>-1.6999999999999999E-3</v>
          </cell>
          <cell r="G106">
            <v>-1.6999999999999999E-3</v>
          </cell>
          <cell r="H106">
            <v>-1.6999999999999999E-3</v>
          </cell>
          <cell r="I106">
            <v>-1.6999999999999999E-3</v>
          </cell>
          <cell r="K106" t="str">
            <v>2005-00399</v>
          </cell>
        </row>
        <row r="107">
          <cell r="A107" t="str">
            <v>2006-00428</v>
          </cell>
          <cell r="B107">
            <v>39022</v>
          </cell>
          <cell r="C107">
            <v>-5.5399999999999998E-2</v>
          </cell>
          <cell r="D107">
            <v>-5.5399999999999998E-2</v>
          </cell>
          <cell r="E107">
            <v>-5.5399999999999998E-2</v>
          </cell>
          <cell r="G107">
            <v>-5.5399999999999998E-2</v>
          </cell>
          <cell r="H107">
            <v>-5.5399999999999998E-2</v>
          </cell>
          <cell r="I107">
            <v>-5.5399999999999998E-2</v>
          </cell>
          <cell r="K107" t="str">
            <v>2006-00428</v>
          </cell>
        </row>
        <row r="108">
          <cell r="B108">
            <v>54789</v>
          </cell>
        </row>
      </sheetData>
      <sheetData sheetId="49">
        <row r="8">
          <cell r="A8" t="str">
            <v>92-558 J</v>
          </cell>
          <cell r="B8">
            <v>34639</v>
          </cell>
          <cell r="C8">
            <v>-4.9500000000000002E-2</v>
          </cell>
          <cell r="D8">
            <v>-1.5300000000000001E-2</v>
          </cell>
          <cell r="E8">
            <v>-1.5300000000000001E-2</v>
          </cell>
          <cell r="F8">
            <v>-1.5300000000000001E-2</v>
          </cell>
        </row>
        <row r="9">
          <cell r="A9" t="str">
            <v>92-558 K</v>
          </cell>
          <cell r="B9">
            <v>34669</v>
          </cell>
          <cell r="C9">
            <v>0</v>
          </cell>
          <cell r="D9">
            <v>0</v>
          </cell>
          <cell r="E9">
            <v>0</v>
          </cell>
          <cell r="F9">
            <v>0</v>
          </cell>
        </row>
        <row r="10">
          <cell r="A10" t="str">
            <v>92-558 L</v>
          </cell>
          <cell r="B10">
            <v>34700</v>
          </cell>
          <cell r="C10">
            <v>0</v>
          </cell>
          <cell r="D10">
            <v>0</v>
          </cell>
          <cell r="E10">
            <v>0</v>
          </cell>
          <cell r="F10">
            <v>0</v>
          </cell>
        </row>
        <row r="11">
          <cell r="A11" t="str">
            <v>92-558 M</v>
          </cell>
          <cell r="B11">
            <v>34731</v>
          </cell>
          <cell r="C11">
            <v>-7.9200000000000007E-2</v>
          </cell>
          <cell r="D11">
            <v>-2.4400000000000002E-2</v>
          </cell>
          <cell r="E11">
            <v>0</v>
          </cell>
          <cell r="F11">
            <v>0</v>
          </cell>
        </row>
        <row r="12">
          <cell r="A12" t="str">
            <v>92-558 N</v>
          </cell>
          <cell r="B12">
            <v>34759</v>
          </cell>
          <cell r="C12">
            <v>0</v>
          </cell>
          <cell r="D12">
            <v>0</v>
          </cell>
          <cell r="E12">
            <v>0</v>
          </cell>
          <cell r="F12">
            <v>0</v>
          </cell>
        </row>
        <row r="13">
          <cell r="A13" t="str">
            <v>92-558 O</v>
          </cell>
          <cell r="B13">
            <v>34790</v>
          </cell>
          <cell r="C13">
            <v>-3.2100000000000004E-2</v>
          </cell>
          <cell r="D13">
            <v>-7.6E-3</v>
          </cell>
          <cell r="E13">
            <v>0</v>
          </cell>
          <cell r="F13">
            <v>0</v>
          </cell>
        </row>
        <row r="14">
          <cell r="A14" t="str">
            <v>92-558 P</v>
          </cell>
          <cell r="B14">
            <v>34820</v>
          </cell>
          <cell r="C14">
            <v>0</v>
          </cell>
          <cell r="D14">
            <v>0</v>
          </cell>
          <cell r="E14">
            <v>0</v>
          </cell>
          <cell r="F14">
            <v>0</v>
          </cell>
        </row>
        <row r="15">
          <cell r="A15" t="str">
            <v>92-558 Q</v>
          </cell>
          <cell r="B15">
            <v>34851</v>
          </cell>
          <cell r="C15">
            <v>0</v>
          </cell>
          <cell r="D15">
            <v>0</v>
          </cell>
          <cell r="E15">
            <v>0</v>
          </cell>
          <cell r="F15">
            <v>0</v>
          </cell>
        </row>
        <row r="16">
          <cell r="A16" t="str">
            <v>92-558 R</v>
          </cell>
          <cell r="B16">
            <v>34881</v>
          </cell>
          <cell r="C16">
            <v>0</v>
          </cell>
          <cell r="D16">
            <v>0</v>
          </cell>
          <cell r="E16">
            <v>0</v>
          </cell>
          <cell r="F16">
            <v>0</v>
          </cell>
        </row>
        <row r="17">
          <cell r="A17" t="str">
            <v>92-558 S</v>
          </cell>
          <cell r="B17">
            <v>34912</v>
          </cell>
          <cell r="C17">
            <v>0</v>
          </cell>
          <cell r="D17">
            <v>0</v>
          </cell>
          <cell r="E17">
            <v>0</v>
          </cell>
          <cell r="F17">
            <v>0</v>
          </cell>
        </row>
        <row r="18">
          <cell r="A18" t="str">
            <v>95-010 A</v>
          </cell>
          <cell r="B18">
            <v>34943</v>
          </cell>
          <cell r="C18">
            <v>-3.0200000000000001E-2</v>
          </cell>
          <cell r="D18">
            <v>-7.1000000000000004E-3</v>
          </cell>
          <cell r="E18">
            <v>0</v>
          </cell>
          <cell r="F18">
            <v>0</v>
          </cell>
        </row>
        <row r="19">
          <cell r="A19" t="str">
            <v>95-010</v>
          </cell>
          <cell r="B19">
            <v>34999</v>
          </cell>
          <cell r="C19">
            <v>0</v>
          </cell>
          <cell r="D19">
            <v>0</v>
          </cell>
          <cell r="E19">
            <v>0</v>
          </cell>
          <cell r="F19">
            <v>0</v>
          </cell>
          <cell r="H19">
            <v>-0.191</v>
          </cell>
          <cell r="I19">
            <v>-5.4400000000000004E-2</v>
          </cell>
          <cell r="J19">
            <v>-1.5300000000000001E-2</v>
          </cell>
          <cell r="K19">
            <v>-1.5300000000000001E-2</v>
          </cell>
        </row>
        <row r="20">
          <cell r="A20" t="str">
            <v>95-010 B</v>
          </cell>
          <cell r="B20">
            <v>35004</v>
          </cell>
          <cell r="C20">
            <v>0</v>
          </cell>
          <cell r="D20">
            <v>0</v>
          </cell>
          <cell r="E20">
            <v>0</v>
          </cell>
          <cell r="F20">
            <v>0</v>
          </cell>
          <cell r="H20">
            <v>-0.14150000000000001</v>
          </cell>
          <cell r="I20">
            <v>-3.9100000000000003E-2</v>
          </cell>
          <cell r="J20">
            <v>0</v>
          </cell>
          <cell r="K20">
            <v>0</v>
          </cell>
        </row>
        <row r="21">
          <cell r="A21" t="str">
            <v>95-010 C</v>
          </cell>
          <cell r="B21">
            <v>35034</v>
          </cell>
          <cell r="C21">
            <v>-6.9999999999999999E-4</v>
          </cell>
          <cell r="D21">
            <v>-2.0000000000000001E-4</v>
          </cell>
          <cell r="E21">
            <v>0</v>
          </cell>
          <cell r="F21">
            <v>0</v>
          </cell>
          <cell r="H21">
            <v>-0.14220000000000002</v>
          </cell>
          <cell r="I21">
            <v>-3.9300000000000002E-2</v>
          </cell>
          <cell r="J21">
            <v>0</v>
          </cell>
          <cell r="K21">
            <v>0</v>
          </cell>
        </row>
        <row r="22">
          <cell r="A22" t="str">
            <v>95-010 D</v>
          </cell>
          <cell r="B22">
            <v>35065</v>
          </cell>
          <cell r="C22">
            <v>0</v>
          </cell>
          <cell r="D22">
            <v>0</v>
          </cell>
          <cell r="E22">
            <v>0</v>
          </cell>
          <cell r="F22">
            <v>0</v>
          </cell>
          <cell r="H22">
            <v>-0.14220000000000002</v>
          </cell>
          <cell r="I22">
            <v>-3.9300000000000002E-2</v>
          </cell>
          <cell r="J22">
            <v>0</v>
          </cell>
          <cell r="K22">
            <v>0</v>
          </cell>
        </row>
        <row r="23">
          <cell r="A23" t="str">
            <v>95-010 E</v>
          </cell>
          <cell r="B23">
            <v>35096</v>
          </cell>
          <cell r="C23">
            <v>0</v>
          </cell>
          <cell r="D23">
            <v>0</v>
          </cell>
          <cell r="E23">
            <v>0</v>
          </cell>
          <cell r="F23">
            <v>0</v>
          </cell>
          <cell r="H23">
            <v>-6.3000000000000014E-2</v>
          </cell>
          <cell r="I23">
            <v>-1.4900000000000002E-2</v>
          </cell>
          <cell r="J23">
            <v>0</v>
          </cell>
          <cell r="K23">
            <v>0</v>
          </cell>
        </row>
        <row r="24">
          <cell r="A24" t="str">
            <v>95-010 F</v>
          </cell>
          <cell r="B24">
            <v>35125</v>
          </cell>
          <cell r="C24">
            <v>0</v>
          </cell>
          <cell r="D24">
            <v>0</v>
          </cell>
          <cell r="E24">
            <v>0</v>
          </cell>
          <cell r="F24">
            <v>0</v>
          </cell>
          <cell r="H24">
            <v>-6.3000000000000014E-2</v>
          </cell>
          <cell r="I24">
            <v>-1.4900000000000002E-2</v>
          </cell>
          <cell r="J24">
            <v>0</v>
          </cell>
          <cell r="K24">
            <v>0</v>
          </cell>
        </row>
        <row r="25">
          <cell r="A25" t="str">
            <v>95-010 G</v>
          </cell>
          <cell r="B25">
            <v>35156</v>
          </cell>
          <cell r="C25">
            <v>0</v>
          </cell>
          <cell r="D25">
            <v>0</v>
          </cell>
          <cell r="E25">
            <v>0</v>
          </cell>
          <cell r="F25">
            <v>0</v>
          </cell>
          <cell r="H25">
            <v>-3.09E-2</v>
          </cell>
          <cell r="I25">
            <v>-7.3000000000000001E-3</v>
          </cell>
          <cell r="J25">
            <v>0</v>
          </cell>
          <cell r="K25">
            <v>0</v>
          </cell>
        </row>
        <row r="26">
          <cell r="A26" t="str">
            <v>95-010 H</v>
          </cell>
          <cell r="B26">
            <v>35186</v>
          </cell>
          <cell r="C26">
            <v>0</v>
          </cell>
          <cell r="D26">
            <v>0</v>
          </cell>
          <cell r="E26">
            <v>0</v>
          </cell>
          <cell r="F26">
            <v>0</v>
          </cell>
          <cell r="H26">
            <v>-3.09E-2</v>
          </cell>
          <cell r="I26">
            <v>-7.3000000000000001E-3</v>
          </cell>
          <cell r="J26">
            <v>0</v>
          </cell>
          <cell r="K26">
            <v>0</v>
          </cell>
        </row>
        <row r="27">
          <cell r="A27" t="str">
            <v>95-010 I</v>
          </cell>
          <cell r="B27">
            <v>35217</v>
          </cell>
          <cell r="C27">
            <v>-6.5000000000000002E-2</v>
          </cell>
          <cell r="D27">
            <v>-1.77E-2</v>
          </cell>
          <cell r="E27">
            <v>0</v>
          </cell>
          <cell r="F27">
            <v>0</v>
          </cell>
          <cell r="H27">
            <v>-9.5899999999999999E-2</v>
          </cell>
          <cell r="I27">
            <v>-2.5000000000000001E-2</v>
          </cell>
          <cell r="J27">
            <v>0</v>
          </cell>
          <cell r="K27">
            <v>0</v>
          </cell>
        </row>
        <row r="28">
          <cell r="A28" t="str">
            <v>95-010 J</v>
          </cell>
          <cell r="B28">
            <v>35247</v>
          </cell>
          <cell r="C28">
            <v>-2.3E-3</v>
          </cell>
          <cell r="D28">
            <v>-5.9999999999999995E-4</v>
          </cell>
          <cell r="E28">
            <v>0</v>
          </cell>
          <cell r="F28">
            <v>0</v>
          </cell>
          <cell r="H28">
            <v>-9.8199999999999996E-2</v>
          </cell>
          <cell r="I28">
            <v>-2.5600000000000001E-2</v>
          </cell>
          <cell r="J28">
            <v>0</v>
          </cell>
          <cell r="K28">
            <v>0</v>
          </cell>
        </row>
        <row r="29">
          <cell r="A29" t="str">
            <v>95-010 K</v>
          </cell>
          <cell r="B29">
            <v>35278</v>
          </cell>
          <cell r="C29">
            <v>0</v>
          </cell>
          <cell r="D29">
            <v>0</v>
          </cell>
          <cell r="E29">
            <v>0</v>
          </cell>
          <cell r="F29">
            <v>0</v>
          </cell>
          <cell r="H29">
            <v>-9.8199999999999996E-2</v>
          </cell>
          <cell r="I29">
            <v>-2.5600000000000001E-2</v>
          </cell>
          <cell r="J29">
            <v>0</v>
          </cell>
          <cell r="K29">
            <v>0</v>
          </cell>
        </row>
        <row r="30">
          <cell r="A30" t="str">
            <v>95-010 L</v>
          </cell>
          <cell r="B30">
            <v>35309</v>
          </cell>
          <cell r="C30">
            <v>0</v>
          </cell>
          <cell r="D30">
            <v>0</v>
          </cell>
          <cell r="E30">
            <v>0</v>
          </cell>
          <cell r="F30">
            <v>0</v>
          </cell>
          <cell r="H30">
            <v>-6.8000000000000005E-2</v>
          </cell>
          <cell r="I30">
            <v>-1.8499999999999999E-2</v>
          </cell>
          <cell r="J30">
            <v>0</v>
          </cell>
          <cell r="K30">
            <v>0</v>
          </cell>
        </row>
        <row r="31">
          <cell r="A31" t="str">
            <v>95-010 M</v>
          </cell>
          <cell r="B31">
            <v>35339</v>
          </cell>
          <cell r="C31">
            <v>0</v>
          </cell>
          <cell r="D31">
            <v>0</v>
          </cell>
          <cell r="E31">
            <v>0</v>
          </cell>
          <cell r="F31">
            <v>0</v>
          </cell>
          <cell r="H31">
            <v>-6.8000000000000005E-2</v>
          </cell>
          <cell r="I31">
            <v>-1.8499999999999999E-2</v>
          </cell>
          <cell r="J31">
            <v>0</v>
          </cell>
          <cell r="K31">
            <v>0</v>
          </cell>
        </row>
        <row r="32">
          <cell r="A32" t="str">
            <v>95-010 N</v>
          </cell>
          <cell r="B32">
            <v>35370</v>
          </cell>
          <cell r="C32">
            <v>0</v>
          </cell>
          <cell r="D32">
            <v>0</v>
          </cell>
          <cell r="E32">
            <v>0</v>
          </cell>
          <cell r="F32">
            <v>0</v>
          </cell>
          <cell r="H32">
            <v>-6.8000000000000005E-2</v>
          </cell>
          <cell r="I32">
            <v>-1.8499999999999999E-2</v>
          </cell>
          <cell r="J32">
            <v>0</v>
          </cell>
          <cell r="K32">
            <v>0</v>
          </cell>
        </row>
        <row r="33">
          <cell r="A33" t="str">
            <v>95-010 O</v>
          </cell>
          <cell r="B33">
            <v>35400</v>
          </cell>
          <cell r="C33">
            <v>0</v>
          </cell>
          <cell r="D33">
            <v>0</v>
          </cell>
          <cell r="E33">
            <v>0</v>
          </cell>
          <cell r="F33">
            <v>0</v>
          </cell>
          <cell r="H33">
            <v>-6.7299999999999999E-2</v>
          </cell>
          <cell r="I33">
            <v>-1.83E-2</v>
          </cell>
          <cell r="J33">
            <v>0</v>
          </cell>
          <cell r="K33">
            <v>0</v>
          </cell>
        </row>
        <row r="34">
          <cell r="A34" t="str">
            <v>95-010 P</v>
          </cell>
          <cell r="B34">
            <v>35431</v>
          </cell>
          <cell r="C34">
            <v>0</v>
          </cell>
          <cell r="D34">
            <v>0</v>
          </cell>
          <cell r="E34">
            <v>0</v>
          </cell>
          <cell r="F34">
            <v>0</v>
          </cell>
          <cell r="H34">
            <v>-6.7299999999999999E-2</v>
          </cell>
          <cell r="I34">
            <v>-1.83E-2</v>
          </cell>
          <cell r="J34">
            <v>0</v>
          </cell>
          <cell r="K34">
            <v>0</v>
          </cell>
        </row>
        <row r="35">
          <cell r="A35" t="str">
            <v>95-010 Q</v>
          </cell>
          <cell r="B35">
            <v>35462</v>
          </cell>
          <cell r="C35">
            <v>0</v>
          </cell>
          <cell r="D35">
            <v>0</v>
          </cell>
          <cell r="E35">
            <v>0</v>
          </cell>
          <cell r="F35">
            <v>0</v>
          </cell>
          <cell r="H35">
            <v>-6.7299999999999999E-2</v>
          </cell>
          <cell r="I35">
            <v>-1.83E-2</v>
          </cell>
          <cell r="J35">
            <v>0</v>
          </cell>
          <cell r="K35">
            <v>0</v>
          </cell>
        </row>
        <row r="36">
          <cell r="A36" t="str">
            <v>95-010 R</v>
          </cell>
          <cell r="B36">
            <v>35490</v>
          </cell>
          <cell r="C36">
            <v>0</v>
          </cell>
          <cell r="D36">
            <v>0</v>
          </cell>
          <cell r="E36">
            <v>0</v>
          </cell>
          <cell r="F36">
            <v>0</v>
          </cell>
          <cell r="H36">
            <v>-6.7299999999999999E-2</v>
          </cell>
          <cell r="I36">
            <v>-1.83E-2</v>
          </cell>
          <cell r="J36">
            <v>0</v>
          </cell>
          <cell r="K36">
            <v>0</v>
          </cell>
        </row>
        <row r="37">
          <cell r="A37" t="str">
            <v>95-010 S</v>
          </cell>
          <cell r="B37">
            <v>35521</v>
          </cell>
          <cell r="C37">
            <v>0</v>
          </cell>
          <cell r="D37">
            <v>0</v>
          </cell>
          <cell r="E37">
            <v>0</v>
          </cell>
          <cell r="F37">
            <v>0</v>
          </cell>
          <cell r="H37">
            <v>-6.7299999999999999E-2</v>
          </cell>
          <cell r="I37">
            <v>-1.83E-2</v>
          </cell>
          <cell r="J37">
            <v>0</v>
          </cell>
          <cell r="K37">
            <v>0</v>
          </cell>
        </row>
        <row r="38">
          <cell r="A38" t="str">
            <v>95-010 T</v>
          </cell>
          <cell r="B38">
            <v>35551</v>
          </cell>
          <cell r="C38">
            <v>0</v>
          </cell>
          <cell r="D38">
            <v>0</v>
          </cell>
          <cell r="E38">
            <v>0</v>
          </cell>
          <cell r="F38">
            <v>0</v>
          </cell>
          <cell r="H38">
            <v>-6.7299999999999999E-2</v>
          </cell>
          <cell r="I38">
            <v>-1.83E-2</v>
          </cell>
          <cell r="J38">
            <v>0</v>
          </cell>
          <cell r="K38">
            <v>0</v>
          </cell>
        </row>
        <row r="39">
          <cell r="A39" t="str">
            <v>95-010 U</v>
          </cell>
          <cell r="B39">
            <v>35582</v>
          </cell>
          <cell r="C39">
            <v>-4.8800000000000003E-2</v>
          </cell>
          <cell r="D39">
            <v>-1.35E-2</v>
          </cell>
          <cell r="E39">
            <v>0</v>
          </cell>
          <cell r="F39">
            <v>0</v>
          </cell>
          <cell r="H39">
            <v>-5.1100000000000007E-2</v>
          </cell>
          <cell r="I39">
            <v>-1.41E-2</v>
          </cell>
          <cell r="J39">
            <v>0</v>
          </cell>
          <cell r="K39">
            <v>0</v>
          </cell>
        </row>
        <row r="40">
          <cell r="A40" t="str">
            <v>95-010 V</v>
          </cell>
          <cell r="B40">
            <v>35612</v>
          </cell>
          <cell r="C40">
            <v>0</v>
          </cell>
          <cell r="D40">
            <v>0</v>
          </cell>
          <cell r="E40">
            <v>0</v>
          </cell>
          <cell r="F40">
            <v>0</v>
          </cell>
          <cell r="H40">
            <v>-4.8800000000000003E-2</v>
          </cell>
          <cell r="I40">
            <v>-1.35E-2</v>
          </cell>
          <cell r="J40">
            <v>0</v>
          </cell>
          <cell r="K40">
            <v>0</v>
          </cell>
        </row>
        <row r="41">
          <cell r="A41" t="str">
            <v>95-010 W</v>
          </cell>
          <cell r="B41">
            <v>35643</v>
          </cell>
          <cell r="C41">
            <v>0</v>
          </cell>
          <cell r="D41">
            <v>0</v>
          </cell>
          <cell r="E41">
            <v>0</v>
          </cell>
          <cell r="F41">
            <v>0</v>
          </cell>
          <cell r="H41">
            <v>-4.8800000000000003E-2</v>
          </cell>
          <cell r="I41">
            <v>-1.35E-2</v>
          </cell>
          <cell r="J41">
            <v>0</v>
          </cell>
          <cell r="K41">
            <v>0</v>
          </cell>
        </row>
        <row r="42">
          <cell r="A42" t="str">
            <v>95-010 X</v>
          </cell>
          <cell r="B42">
            <v>35674</v>
          </cell>
          <cell r="C42">
            <v>0</v>
          </cell>
          <cell r="D42">
            <v>0</v>
          </cell>
          <cell r="E42">
            <v>0</v>
          </cell>
          <cell r="F42">
            <v>0</v>
          </cell>
          <cell r="H42">
            <v>-4.8800000000000003E-2</v>
          </cell>
          <cell r="I42">
            <v>-1.35E-2</v>
          </cell>
          <cell r="J42">
            <v>0</v>
          </cell>
          <cell r="K42">
            <v>0</v>
          </cell>
        </row>
        <row r="43">
          <cell r="A43" t="str">
            <v>95-010 Y</v>
          </cell>
          <cell r="B43">
            <v>35704</v>
          </cell>
          <cell r="C43">
            <v>0</v>
          </cell>
          <cell r="D43">
            <v>0</v>
          </cell>
          <cell r="E43">
            <v>0</v>
          </cell>
          <cell r="F43">
            <v>0</v>
          </cell>
          <cell r="H43">
            <v>-4.8800000000000003E-2</v>
          </cell>
          <cell r="I43">
            <v>-1.35E-2</v>
          </cell>
          <cell r="J43">
            <v>0</v>
          </cell>
          <cell r="K43">
            <v>0</v>
          </cell>
        </row>
        <row r="44">
          <cell r="A44" t="str">
            <v>95-010 Z</v>
          </cell>
          <cell r="B44">
            <v>35735</v>
          </cell>
          <cell r="C44">
            <v>0</v>
          </cell>
          <cell r="D44">
            <v>0</v>
          </cell>
          <cell r="E44">
            <v>0</v>
          </cell>
          <cell r="F44">
            <v>0</v>
          </cell>
          <cell r="H44">
            <v>-4.8800000000000003E-2</v>
          </cell>
          <cell r="I44">
            <v>-1.35E-2</v>
          </cell>
          <cell r="J44">
            <v>0</v>
          </cell>
          <cell r="K44">
            <v>0</v>
          </cell>
        </row>
        <row r="45">
          <cell r="A45" t="str">
            <v>95-010 AA</v>
          </cell>
          <cell r="B45">
            <v>35765</v>
          </cell>
          <cell r="C45">
            <v>0</v>
          </cell>
          <cell r="D45">
            <v>0</v>
          </cell>
          <cell r="E45">
            <v>0</v>
          </cell>
          <cell r="F45">
            <v>0</v>
          </cell>
          <cell r="H45">
            <v>-4.8800000000000003E-2</v>
          </cell>
          <cell r="I45">
            <v>-1.35E-2</v>
          </cell>
          <cell r="J45">
            <v>0</v>
          </cell>
          <cell r="K45">
            <v>0</v>
          </cell>
        </row>
        <row r="46">
          <cell r="A46" t="str">
            <v>95-010 BB</v>
          </cell>
          <cell r="B46">
            <v>35796</v>
          </cell>
          <cell r="C46">
            <v>0</v>
          </cell>
          <cell r="D46">
            <v>0</v>
          </cell>
          <cell r="E46">
            <v>0</v>
          </cell>
          <cell r="F46">
            <v>0</v>
          </cell>
          <cell r="H46">
            <v>-4.8800000000000003E-2</v>
          </cell>
          <cell r="I46">
            <v>-1.35E-2</v>
          </cell>
          <cell r="J46">
            <v>0</v>
          </cell>
          <cell r="K46">
            <v>0</v>
          </cell>
        </row>
        <row r="47">
          <cell r="A47" t="str">
            <v>95-010 CC</v>
          </cell>
          <cell r="B47">
            <v>35827</v>
          </cell>
          <cell r="C47">
            <v>0</v>
          </cell>
          <cell r="D47">
            <v>0</v>
          </cell>
          <cell r="E47">
            <v>0</v>
          </cell>
          <cell r="F47">
            <v>0</v>
          </cell>
          <cell r="H47">
            <v>-4.8800000000000003E-2</v>
          </cell>
          <cell r="I47">
            <v>-1.35E-2</v>
          </cell>
          <cell r="J47">
            <v>0</v>
          </cell>
          <cell r="K47">
            <v>0</v>
          </cell>
        </row>
        <row r="48">
          <cell r="A48" t="str">
            <v>95-010 DD</v>
          </cell>
          <cell r="B48">
            <v>35855</v>
          </cell>
          <cell r="C48">
            <v>0</v>
          </cell>
          <cell r="D48">
            <v>0</v>
          </cell>
          <cell r="E48">
            <v>0</v>
          </cell>
          <cell r="F48">
            <v>0</v>
          </cell>
          <cell r="H48">
            <v>-4.8800000000000003E-2</v>
          </cell>
          <cell r="I48">
            <v>-1.35E-2</v>
          </cell>
          <cell r="J48">
            <v>0</v>
          </cell>
          <cell r="K48">
            <v>0</v>
          </cell>
        </row>
        <row r="49">
          <cell r="A49" t="str">
            <v>95-010 EE</v>
          </cell>
          <cell r="B49">
            <v>35886</v>
          </cell>
          <cell r="C49">
            <v>0</v>
          </cell>
          <cell r="D49">
            <v>0</v>
          </cell>
          <cell r="E49">
            <v>0</v>
          </cell>
          <cell r="F49">
            <v>0</v>
          </cell>
          <cell r="H49">
            <v>-4.8800000000000003E-2</v>
          </cell>
          <cell r="I49">
            <v>-1.35E-2</v>
          </cell>
          <cell r="J49">
            <v>0</v>
          </cell>
          <cell r="K49">
            <v>0</v>
          </cell>
        </row>
        <row r="50">
          <cell r="A50" t="str">
            <v>95-010 FF</v>
          </cell>
          <cell r="B50">
            <v>35916</v>
          </cell>
          <cell r="C50">
            <v>0</v>
          </cell>
          <cell r="D50">
            <v>0</v>
          </cell>
          <cell r="E50">
            <v>0</v>
          </cell>
          <cell r="F50">
            <v>0</v>
          </cell>
          <cell r="H50">
            <v>-4.8800000000000003E-2</v>
          </cell>
          <cell r="I50">
            <v>-1.35E-2</v>
          </cell>
          <cell r="J50">
            <v>0</v>
          </cell>
          <cell r="K50">
            <v>0</v>
          </cell>
        </row>
        <row r="51">
          <cell r="A51" t="str">
            <v>95-010 GG</v>
          </cell>
          <cell r="B51">
            <v>35947</v>
          </cell>
          <cell r="C51">
            <v>0</v>
          </cell>
          <cell r="D51">
            <v>0</v>
          </cell>
          <cell r="E51">
            <v>0</v>
          </cell>
          <cell r="F51">
            <v>0</v>
          </cell>
          <cell r="H51">
            <v>0</v>
          </cell>
          <cell r="I51">
            <v>0</v>
          </cell>
          <cell r="J51">
            <v>0</v>
          </cell>
          <cell r="K51">
            <v>0</v>
          </cell>
        </row>
        <row r="52">
          <cell r="A52" t="str">
            <v>95-010 HH</v>
          </cell>
          <cell r="B52">
            <v>35977</v>
          </cell>
          <cell r="C52">
            <v>-2.9999999999999996E-3</v>
          </cell>
          <cell r="D52">
            <v>-8.0000000000000004E-4</v>
          </cell>
          <cell r="E52">
            <v>0</v>
          </cell>
          <cell r="F52">
            <v>0</v>
          </cell>
          <cell r="H52">
            <v>-2.9999999999999996E-3</v>
          </cell>
          <cell r="I52">
            <v>-8.0000000000000004E-4</v>
          </cell>
          <cell r="J52">
            <v>0</v>
          </cell>
          <cell r="K52">
            <v>0</v>
          </cell>
        </row>
        <row r="53">
          <cell r="A53" t="str">
            <v>95-010 II</v>
          </cell>
          <cell r="B53">
            <v>36008</v>
          </cell>
          <cell r="C53">
            <v>0</v>
          </cell>
          <cell r="D53">
            <v>0</v>
          </cell>
          <cell r="E53">
            <v>0</v>
          </cell>
          <cell r="F53">
            <v>0</v>
          </cell>
          <cell r="H53">
            <v>-2.9999999999999996E-3</v>
          </cell>
          <cell r="I53">
            <v>-8.0000000000000004E-4</v>
          </cell>
          <cell r="J53">
            <v>0</v>
          </cell>
          <cell r="K53">
            <v>0</v>
          </cell>
        </row>
        <row r="54">
          <cell r="A54" t="str">
            <v>95-010 JJ</v>
          </cell>
          <cell r="B54">
            <v>36039</v>
          </cell>
          <cell r="C54">
            <v>0</v>
          </cell>
          <cell r="D54">
            <v>0</v>
          </cell>
          <cell r="E54">
            <v>0</v>
          </cell>
          <cell r="F54">
            <v>0</v>
          </cell>
          <cell r="H54">
            <v>-2.9999999999999996E-3</v>
          </cell>
          <cell r="I54">
            <v>-8.0000000000000004E-4</v>
          </cell>
          <cell r="J54">
            <v>0</v>
          </cell>
          <cell r="K54">
            <v>0</v>
          </cell>
        </row>
        <row r="55">
          <cell r="A55" t="str">
            <v>95-010 KK</v>
          </cell>
          <cell r="B55">
            <v>36069</v>
          </cell>
          <cell r="C55">
            <v>0</v>
          </cell>
          <cell r="D55">
            <v>0</v>
          </cell>
          <cell r="E55">
            <v>0</v>
          </cell>
          <cell r="F55">
            <v>0</v>
          </cell>
          <cell r="H55">
            <v>-2.9999999999999996E-3</v>
          </cell>
          <cell r="I55">
            <v>-8.0000000000000004E-4</v>
          </cell>
          <cell r="J55">
            <v>0</v>
          </cell>
          <cell r="K55">
            <v>0</v>
          </cell>
        </row>
        <row r="56">
          <cell r="A56" t="str">
            <v>95-010 LL</v>
          </cell>
          <cell r="B56">
            <v>36100</v>
          </cell>
          <cell r="C56">
            <v>0</v>
          </cell>
          <cell r="D56">
            <v>0</v>
          </cell>
          <cell r="E56">
            <v>0</v>
          </cell>
          <cell r="F56">
            <v>0</v>
          </cell>
          <cell r="H56">
            <v>-2.9999999999999996E-3</v>
          </cell>
          <cell r="I56">
            <v>-8.0000000000000004E-4</v>
          </cell>
          <cell r="J56">
            <v>0</v>
          </cell>
          <cell r="K56">
            <v>0</v>
          </cell>
        </row>
        <row r="57">
          <cell r="A57" t="str">
            <v>95-010 MM</v>
          </cell>
          <cell r="B57">
            <v>36130</v>
          </cell>
          <cell r="C57">
            <v>0</v>
          </cell>
          <cell r="D57">
            <v>0</v>
          </cell>
          <cell r="E57">
            <v>0</v>
          </cell>
          <cell r="F57">
            <v>0</v>
          </cell>
          <cell r="H57">
            <v>-2.9999999999999996E-3</v>
          </cell>
          <cell r="I57">
            <v>-8.0000000000000004E-4</v>
          </cell>
          <cell r="J57">
            <v>0</v>
          </cell>
          <cell r="K57">
            <v>0</v>
          </cell>
        </row>
        <row r="58">
          <cell r="A58" t="str">
            <v>95-010 NN</v>
          </cell>
          <cell r="B58">
            <v>36161</v>
          </cell>
          <cell r="C58">
            <v>0</v>
          </cell>
          <cell r="D58">
            <v>0</v>
          </cell>
          <cell r="E58">
            <v>0</v>
          </cell>
          <cell r="F58">
            <v>0</v>
          </cell>
          <cell r="H58">
            <v>-2.9999999999999996E-3</v>
          </cell>
          <cell r="I58">
            <v>-8.0000000000000004E-4</v>
          </cell>
          <cell r="J58">
            <v>0</v>
          </cell>
          <cell r="K58">
            <v>0</v>
          </cell>
        </row>
        <row r="59">
          <cell r="A59" t="str">
            <v>95-010 OO</v>
          </cell>
          <cell r="B59">
            <v>36192</v>
          </cell>
          <cell r="C59">
            <v>0</v>
          </cell>
          <cell r="D59">
            <v>0</v>
          </cell>
          <cell r="E59">
            <v>0</v>
          </cell>
          <cell r="F59">
            <v>0</v>
          </cell>
          <cell r="H59">
            <v>-2.9999999999999996E-3</v>
          </cell>
          <cell r="I59">
            <v>-8.0000000000000004E-4</v>
          </cell>
          <cell r="J59">
            <v>0</v>
          </cell>
          <cell r="K59">
            <v>0</v>
          </cell>
        </row>
        <row r="60">
          <cell r="A60" t="str">
            <v>95-010 PP</v>
          </cell>
          <cell r="B60">
            <v>36220</v>
          </cell>
          <cell r="C60">
            <v>0</v>
          </cell>
          <cell r="D60">
            <v>0</v>
          </cell>
          <cell r="E60">
            <v>0</v>
          </cell>
          <cell r="F60">
            <v>0</v>
          </cell>
          <cell r="H60">
            <v>-2.9999999999999996E-3</v>
          </cell>
          <cell r="I60">
            <v>-8.0000000000000004E-4</v>
          </cell>
          <cell r="J60">
            <v>0</v>
          </cell>
          <cell r="K60">
            <v>0</v>
          </cell>
        </row>
        <row r="61">
          <cell r="A61" t="str">
            <v>95-010 QQ</v>
          </cell>
          <cell r="B61">
            <v>36251</v>
          </cell>
          <cell r="C61">
            <v>-4.1200000000000001E-2</v>
          </cell>
          <cell r="D61">
            <v>-1.1000000000000001E-2</v>
          </cell>
          <cell r="E61">
            <v>0</v>
          </cell>
          <cell r="F61">
            <v>0</v>
          </cell>
          <cell r="H61">
            <v>-4.4200000000000003E-2</v>
          </cell>
          <cell r="I61">
            <v>-1.1800000000000001E-2</v>
          </cell>
          <cell r="J61">
            <v>0</v>
          </cell>
          <cell r="K61">
            <v>0</v>
          </cell>
        </row>
        <row r="62">
          <cell r="A62" t="str">
            <v>95-010 RR</v>
          </cell>
          <cell r="B62">
            <v>36281</v>
          </cell>
          <cell r="C62">
            <v>0</v>
          </cell>
          <cell r="D62">
            <v>0</v>
          </cell>
          <cell r="E62">
            <v>0</v>
          </cell>
          <cell r="F62">
            <v>0</v>
          </cell>
          <cell r="H62">
            <v>-4.4200000000000003E-2</v>
          </cell>
          <cell r="I62">
            <v>-1.1800000000000001E-2</v>
          </cell>
          <cell r="J62">
            <v>0</v>
          </cell>
          <cell r="K62">
            <v>0</v>
          </cell>
        </row>
        <row r="63">
          <cell r="A63" t="str">
            <v>95-010 SS</v>
          </cell>
          <cell r="B63">
            <v>36312</v>
          </cell>
          <cell r="C63">
            <v>0</v>
          </cell>
          <cell r="D63">
            <v>0</v>
          </cell>
          <cell r="E63">
            <v>0</v>
          </cell>
          <cell r="F63">
            <v>0</v>
          </cell>
          <cell r="H63">
            <v>-4.4200000000000003E-2</v>
          </cell>
          <cell r="I63">
            <v>-1.1800000000000001E-2</v>
          </cell>
          <cell r="J63">
            <v>0</v>
          </cell>
          <cell r="K63">
            <v>0</v>
          </cell>
        </row>
        <row r="64">
          <cell r="A64" t="str">
            <v>95-010 TT</v>
          </cell>
          <cell r="B64">
            <v>36342</v>
          </cell>
          <cell r="C64">
            <v>0</v>
          </cell>
          <cell r="D64">
            <v>0</v>
          </cell>
          <cell r="E64">
            <v>0</v>
          </cell>
          <cell r="F64">
            <v>0</v>
          </cell>
          <cell r="H64">
            <v>-4.1200000000000001E-2</v>
          </cell>
          <cell r="I64">
            <v>-1.1000000000000001E-2</v>
          </cell>
          <cell r="J64">
            <v>0</v>
          </cell>
          <cell r="K64">
            <v>0</v>
          </cell>
        </row>
        <row r="65">
          <cell r="A65" t="str">
            <v>95-010 UU</v>
          </cell>
          <cell r="B65">
            <v>36373</v>
          </cell>
          <cell r="C65">
            <v>0</v>
          </cell>
          <cell r="D65">
            <v>0</v>
          </cell>
          <cell r="E65">
            <v>0</v>
          </cell>
          <cell r="F65">
            <v>0</v>
          </cell>
          <cell r="H65">
            <v>-4.1200000000000001E-2</v>
          </cell>
          <cell r="I65">
            <v>-1.1000000000000001E-2</v>
          </cell>
          <cell r="J65">
            <v>0</v>
          </cell>
          <cell r="K65">
            <v>0</v>
          </cell>
        </row>
        <row r="66">
          <cell r="A66" t="str">
            <v>95-010 VV</v>
          </cell>
          <cell r="B66">
            <v>36404</v>
          </cell>
          <cell r="C66">
            <v>0</v>
          </cell>
          <cell r="D66">
            <v>0</v>
          </cell>
          <cell r="E66">
            <v>0</v>
          </cell>
          <cell r="F66">
            <v>0</v>
          </cell>
          <cell r="H66">
            <v>-4.1200000000000001E-2</v>
          </cell>
          <cell r="I66">
            <v>-1.1000000000000001E-2</v>
          </cell>
          <cell r="J66">
            <v>0</v>
          </cell>
          <cell r="K66">
            <v>0</v>
          </cell>
        </row>
        <row r="67">
          <cell r="A67" t="str">
            <v>95-010 WW</v>
          </cell>
          <cell r="B67">
            <v>36434</v>
          </cell>
          <cell r="C67">
            <v>0</v>
          </cell>
          <cell r="D67">
            <v>0</v>
          </cell>
          <cell r="E67">
            <v>0</v>
          </cell>
          <cell r="F67">
            <v>0</v>
          </cell>
          <cell r="H67">
            <v>-4.1200000000000001E-2</v>
          </cell>
          <cell r="I67">
            <v>-1.1000000000000001E-2</v>
          </cell>
          <cell r="J67">
            <v>0</v>
          </cell>
          <cell r="K67">
            <v>0</v>
          </cell>
        </row>
        <row r="68">
          <cell r="A68" t="str">
            <v>95-010 XX</v>
          </cell>
          <cell r="B68">
            <v>36465</v>
          </cell>
          <cell r="C68">
            <v>0</v>
          </cell>
          <cell r="D68">
            <v>0</v>
          </cell>
          <cell r="E68">
            <v>0</v>
          </cell>
          <cell r="F68">
            <v>0</v>
          </cell>
          <cell r="H68">
            <v>-4.1200000000000001E-2</v>
          </cell>
          <cell r="I68">
            <v>-1.1000000000000001E-2</v>
          </cell>
          <cell r="J68">
            <v>0</v>
          </cell>
          <cell r="K68">
            <v>0</v>
          </cell>
        </row>
        <row r="69">
          <cell r="A69" t="str">
            <v>95-010 YY</v>
          </cell>
          <cell r="B69">
            <v>36495</v>
          </cell>
          <cell r="C69">
            <v>0</v>
          </cell>
          <cell r="D69">
            <v>0</v>
          </cell>
          <cell r="E69">
            <v>0</v>
          </cell>
          <cell r="F69">
            <v>0</v>
          </cell>
          <cell r="H69">
            <v>-4.1200000000000001E-2</v>
          </cell>
          <cell r="I69">
            <v>-1.1000000000000001E-2</v>
          </cell>
          <cell r="J69">
            <v>0</v>
          </cell>
          <cell r="K69">
            <v>0</v>
          </cell>
        </row>
        <row r="70">
          <cell r="A70" t="str">
            <v>99-070</v>
          </cell>
          <cell r="B70">
            <v>36526</v>
          </cell>
          <cell r="C70">
            <v>0</v>
          </cell>
          <cell r="D70">
            <v>0</v>
          </cell>
          <cell r="E70">
            <v>0</v>
          </cell>
          <cell r="F70">
            <v>0</v>
          </cell>
          <cell r="H70">
            <v>-4.1200000000000001E-2</v>
          </cell>
          <cell r="I70">
            <v>-1.1000000000000001E-2</v>
          </cell>
          <cell r="J70">
            <v>0</v>
          </cell>
          <cell r="K70">
            <v>0</v>
          </cell>
        </row>
        <row r="71">
          <cell r="A71" t="str">
            <v>99-070 A</v>
          </cell>
          <cell r="B71">
            <v>36557</v>
          </cell>
          <cell r="C71">
            <v>0</v>
          </cell>
          <cell r="D71">
            <v>0</v>
          </cell>
          <cell r="E71">
            <v>0</v>
          </cell>
          <cell r="F71">
            <v>0</v>
          </cell>
          <cell r="H71">
            <v>-4.1200000000000001E-2</v>
          </cell>
          <cell r="I71">
            <v>-1.1000000000000001E-2</v>
          </cell>
          <cell r="J71">
            <v>0</v>
          </cell>
          <cell r="K71">
            <v>0</v>
          </cell>
        </row>
        <row r="72">
          <cell r="A72" t="str">
            <v>99-070 A</v>
          </cell>
          <cell r="B72">
            <v>36586</v>
          </cell>
          <cell r="C72">
            <v>0</v>
          </cell>
          <cell r="D72">
            <v>0</v>
          </cell>
          <cell r="E72">
            <v>0</v>
          </cell>
          <cell r="F72">
            <v>0</v>
          </cell>
          <cell r="H72">
            <v>-4.1200000000000001E-2</v>
          </cell>
          <cell r="I72">
            <v>-1.1000000000000001E-2</v>
          </cell>
          <cell r="J72">
            <v>0</v>
          </cell>
          <cell r="K72">
            <v>0</v>
          </cell>
        </row>
        <row r="73">
          <cell r="A73" t="str">
            <v>1999-070 B</v>
          </cell>
          <cell r="B73">
            <v>36617</v>
          </cell>
          <cell r="C73">
            <v>0</v>
          </cell>
          <cell r="D73">
            <v>0</v>
          </cell>
          <cell r="E73">
            <v>0</v>
          </cell>
          <cell r="F73">
            <v>0</v>
          </cell>
          <cell r="H73">
            <v>0</v>
          </cell>
          <cell r="I73">
            <v>0</v>
          </cell>
          <cell r="J73">
            <v>0</v>
          </cell>
          <cell r="K73">
            <v>0</v>
          </cell>
        </row>
        <row r="74">
          <cell r="A74" t="str">
            <v>1999-070 C</v>
          </cell>
          <cell r="B74">
            <v>36647</v>
          </cell>
          <cell r="C74">
            <v>0</v>
          </cell>
          <cell r="D74">
            <v>0</v>
          </cell>
          <cell r="E74">
            <v>0</v>
          </cell>
          <cell r="F74">
            <v>0</v>
          </cell>
          <cell r="H74">
            <v>0</v>
          </cell>
          <cell r="I74">
            <v>0</v>
          </cell>
          <cell r="J74">
            <v>0</v>
          </cell>
          <cell r="K74">
            <v>0</v>
          </cell>
        </row>
        <row r="75">
          <cell r="A75" t="str">
            <v>1999-070 C</v>
          </cell>
          <cell r="B75">
            <v>36678</v>
          </cell>
          <cell r="C75">
            <v>0</v>
          </cell>
          <cell r="D75">
            <v>0</v>
          </cell>
          <cell r="E75">
            <v>0</v>
          </cell>
          <cell r="F75">
            <v>0</v>
          </cell>
          <cell r="H75">
            <v>0</v>
          </cell>
          <cell r="I75">
            <v>0</v>
          </cell>
          <cell r="J75">
            <v>0</v>
          </cell>
          <cell r="K75">
            <v>0</v>
          </cell>
        </row>
        <row r="76">
          <cell r="A76" t="str">
            <v>1999-070 D</v>
          </cell>
          <cell r="B76">
            <v>36708</v>
          </cell>
          <cell r="C76">
            <v>0</v>
          </cell>
          <cell r="D76">
            <v>0</v>
          </cell>
          <cell r="E76">
            <v>0</v>
          </cell>
          <cell r="F76">
            <v>0</v>
          </cell>
          <cell r="H76">
            <v>0</v>
          </cell>
          <cell r="I76">
            <v>0</v>
          </cell>
          <cell r="J76">
            <v>0</v>
          </cell>
          <cell r="K76">
            <v>0</v>
          </cell>
        </row>
        <row r="77">
          <cell r="A77" t="str">
            <v>1999-070 E</v>
          </cell>
          <cell r="B77">
            <v>36739</v>
          </cell>
          <cell r="C77">
            <v>0</v>
          </cell>
          <cell r="D77">
            <v>0</v>
          </cell>
          <cell r="E77">
            <v>0</v>
          </cell>
          <cell r="F77">
            <v>0</v>
          </cell>
          <cell r="H77">
            <v>0</v>
          </cell>
          <cell r="I77">
            <v>0</v>
          </cell>
          <cell r="J77">
            <v>0</v>
          </cell>
          <cell r="K77">
            <v>0</v>
          </cell>
        </row>
        <row r="78">
          <cell r="A78" t="str">
            <v>1999-070 E</v>
          </cell>
          <cell r="B78">
            <v>36770</v>
          </cell>
          <cell r="C78">
            <v>0</v>
          </cell>
          <cell r="D78">
            <v>0</v>
          </cell>
          <cell r="E78">
            <v>0</v>
          </cell>
          <cell r="F78">
            <v>0</v>
          </cell>
          <cell r="H78">
            <v>0</v>
          </cell>
          <cell r="I78">
            <v>0</v>
          </cell>
          <cell r="J78">
            <v>0</v>
          </cell>
          <cell r="K78">
            <v>0</v>
          </cell>
        </row>
        <row r="79">
          <cell r="A79" t="str">
            <v>1999-070 F</v>
          </cell>
          <cell r="B79">
            <v>36800</v>
          </cell>
          <cell r="C79">
            <v>0</v>
          </cell>
          <cell r="D79">
            <v>0</v>
          </cell>
          <cell r="E79">
            <v>0</v>
          </cell>
          <cell r="F79">
            <v>0</v>
          </cell>
          <cell r="H79">
            <v>0</v>
          </cell>
          <cell r="I79">
            <v>0</v>
          </cell>
          <cell r="J79">
            <v>0</v>
          </cell>
          <cell r="K79">
            <v>0</v>
          </cell>
        </row>
        <row r="80">
          <cell r="A80" t="str">
            <v>1999-070 G</v>
          </cell>
          <cell r="B80">
            <v>36831</v>
          </cell>
          <cell r="C80">
            <v>0</v>
          </cell>
          <cell r="D80">
            <v>0</v>
          </cell>
          <cell r="E80">
            <v>0</v>
          </cell>
          <cell r="F80">
            <v>0</v>
          </cell>
          <cell r="H80">
            <v>0</v>
          </cell>
          <cell r="I80">
            <v>0</v>
          </cell>
          <cell r="J80">
            <v>0</v>
          </cell>
          <cell r="K80">
            <v>0</v>
          </cell>
        </row>
        <row r="81">
          <cell r="A81" t="str">
            <v>1999-070 G*</v>
          </cell>
          <cell r="B81">
            <v>36861</v>
          </cell>
          <cell r="C81">
            <v>0</v>
          </cell>
          <cell r="D81">
            <v>0</v>
          </cell>
          <cell r="E81">
            <v>0</v>
          </cell>
          <cell r="F81">
            <v>0</v>
          </cell>
          <cell r="H81">
            <v>0</v>
          </cell>
          <cell r="I81">
            <v>0</v>
          </cell>
          <cell r="J81">
            <v>0</v>
          </cell>
          <cell r="K81">
            <v>0</v>
          </cell>
        </row>
        <row r="82">
          <cell r="A82" t="str">
            <v>1999-070 G*</v>
          </cell>
          <cell r="B82">
            <v>36892</v>
          </cell>
          <cell r="C82">
            <v>0</v>
          </cell>
          <cell r="D82">
            <v>0</v>
          </cell>
          <cell r="E82">
            <v>0</v>
          </cell>
          <cell r="F82">
            <v>0</v>
          </cell>
          <cell r="H82">
            <v>0</v>
          </cell>
          <cell r="I82">
            <v>0</v>
          </cell>
          <cell r="J82">
            <v>0</v>
          </cell>
          <cell r="K82">
            <v>0</v>
          </cell>
        </row>
        <row r="83">
          <cell r="A83" t="str">
            <v>1999-070 H</v>
          </cell>
          <cell r="B83">
            <v>36923</v>
          </cell>
          <cell r="C83">
            <v>0</v>
          </cell>
          <cell r="D83">
            <v>0</v>
          </cell>
          <cell r="E83">
            <v>0</v>
          </cell>
          <cell r="F83">
            <v>0</v>
          </cell>
          <cell r="H83">
            <v>0</v>
          </cell>
          <cell r="I83">
            <v>0</v>
          </cell>
          <cell r="J83">
            <v>0</v>
          </cell>
          <cell r="K83">
            <v>0</v>
          </cell>
        </row>
        <row r="84">
          <cell r="A84" t="str">
            <v>1999-070 I</v>
          </cell>
          <cell r="B84">
            <v>36951</v>
          </cell>
          <cell r="C84">
            <v>0</v>
          </cell>
          <cell r="D84">
            <v>0</v>
          </cell>
          <cell r="E84">
            <v>0</v>
          </cell>
          <cell r="F84">
            <v>0</v>
          </cell>
          <cell r="H84">
            <v>0</v>
          </cell>
          <cell r="I84">
            <v>0</v>
          </cell>
          <cell r="J84">
            <v>0</v>
          </cell>
          <cell r="K84">
            <v>0</v>
          </cell>
        </row>
        <row r="85">
          <cell r="A85" t="str">
            <v>1999-070 J</v>
          </cell>
          <cell r="B85">
            <v>36982</v>
          </cell>
          <cell r="C85">
            <v>0</v>
          </cell>
          <cell r="D85">
            <v>0</v>
          </cell>
          <cell r="E85">
            <v>0</v>
          </cell>
          <cell r="F85">
            <v>0</v>
          </cell>
          <cell r="H85">
            <v>0</v>
          </cell>
          <cell r="I85">
            <v>0</v>
          </cell>
          <cell r="J85">
            <v>0</v>
          </cell>
          <cell r="K85">
            <v>0</v>
          </cell>
        </row>
        <row r="86">
          <cell r="A86" t="str">
            <v>1999-070 K</v>
          </cell>
          <cell r="B86">
            <v>37012</v>
          </cell>
          <cell r="C86">
            <v>0</v>
          </cell>
          <cell r="D86">
            <v>0</v>
          </cell>
          <cell r="E86">
            <v>0</v>
          </cell>
          <cell r="F86">
            <v>0</v>
          </cell>
          <cell r="H86">
            <v>0</v>
          </cell>
          <cell r="I86">
            <v>0</v>
          </cell>
          <cell r="J86">
            <v>0</v>
          </cell>
          <cell r="K86">
            <v>0</v>
          </cell>
        </row>
        <row r="87">
          <cell r="A87" t="str">
            <v>1999-070 L</v>
          </cell>
          <cell r="B87">
            <v>37043</v>
          </cell>
          <cell r="C87">
            <v>0</v>
          </cell>
          <cell r="D87">
            <v>0</v>
          </cell>
          <cell r="E87">
            <v>0</v>
          </cell>
          <cell r="F87">
            <v>0</v>
          </cell>
          <cell r="H87">
            <v>0</v>
          </cell>
          <cell r="I87">
            <v>0</v>
          </cell>
          <cell r="J87">
            <v>0</v>
          </cell>
          <cell r="K87">
            <v>0</v>
          </cell>
        </row>
        <row r="88">
          <cell r="A88" t="str">
            <v>1999-070 M</v>
          </cell>
          <cell r="B88">
            <v>37073</v>
          </cell>
          <cell r="C88">
            <v>0</v>
          </cell>
          <cell r="D88">
            <v>0</v>
          </cell>
          <cell r="E88">
            <v>0</v>
          </cell>
          <cell r="F88">
            <v>0</v>
          </cell>
          <cell r="H88">
            <v>0</v>
          </cell>
          <cell r="I88">
            <v>0</v>
          </cell>
          <cell r="J88">
            <v>0</v>
          </cell>
          <cell r="K88">
            <v>0</v>
          </cell>
        </row>
        <row r="89">
          <cell r="A89" t="str">
            <v>1999-070 N</v>
          </cell>
          <cell r="B89">
            <v>37104</v>
          </cell>
          <cell r="C89">
            <v>0</v>
          </cell>
          <cell r="D89">
            <v>0</v>
          </cell>
          <cell r="E89">
            <v>0</v>
          </cell>
          <cell r="F89">
            <v>0</v>
          </cell>
          <cell r="H89">
            <v>0</v>
          </cell>
          <cell r="I89">
            <v>0</v>
          </cell>
          <cell r="J89">
            <v>0</v>
          </cell>
          <cell r="K89">
            <v>0</v>
          </cell>
        </row>
        <row r="90">
          <cell r="A90" t="str">
            <v>1999-070 N*</v>
          </cell>
          <cell r="B90">
            <v>37104</v>
          </cell>
          <cell r="C90">
            <v>0</v>
          </cell>
          <cell r="D90">
            <v>0</v>
          </cell>
          <cell r="E90">
            <v>0</v>
          </cell>
          <cell r="F90">
            <v>0</v>
          </cell>
          <cell r="H90">
            <v>0</v>
          </cell>
          <cell r="I90">
            <v>0</v>
          </cell>
          <cell r="J90">
            <v>0</v>
          </cell>
          <cell r="K90">
            <v>0</v>
          </cell>
        </row>
        <row r="91">
          <cell r="A91" t="str">
            <v>1999-070 N*</v>
          </cell>
          <cell r="B91">
            <v>37104</v>
          </cell>
          <cell r="C91">
            <v>0</v>
          </cell>
          <cell r="D91">
            <v>0</v>
          </cell>
          <cell r="E91">
            <v>0</v>
          </cell>
          <cell r="F91">
            <v>0</v>
          </cell>
          <cell r="H91">
            <v>0</v>
          </cell>
          <cell r="I91">
            <v>0</v>
          </cell>
          <cell r="J91">
            <v>0</v>
          </cell>
          <cell r="K91">
            <v>0</v>
          </cell>
        </row>
        <row r="92">
          <cell r="A92" t="str">
            <v>1999-070 O</v>
          </cell>
          <cell r="B92">
            <v>37196</v>
          </cell>
          <cell r="C92">
            <v>0</v>
          </cell>
          <cell r="D92">
            <v>0</v>
          </cell>
          <cell r="E92">
            <v>0</v>
          </cell>
          <cell r="F92">
            <v>0</v>
          </cell>
          <cell r="H92">
            <v>0</v>
          </cell>
          <cell r="I92">
            <v>0</v>
          </cell>
          <cell r="J92">
            <v>0</v>
          </cell>
          <cell r="K92">
            <v>0</v>
          </cell>
        </row>
        <row r="93">
          <cell r="A93" t="str">
            <v>1999-070 P</v>
          </cell>
          <cell r="B93">
            <v>37288</v>
          </cell>
          <cell r="C93">
            <v>0</v>
          </cell>
          <cell r="D93">
            <v>0</v>
          </cell>
          <cell r="E93">
            <v>0</v>
          </cell>
          <cell r="F93">
            <v>0</v>
          </cell>
          <cell r="H93">
            <v>0</v>
          </cell>
          <cell r="I93">
            <v>0</v>
          </cell>
          <cell r="J93">
            <v>0</v>
          </cell>
          <cell r="K93">
            <v>0</v>
          </cell>
        </row>
        <row r="94">
          <cell r="A94" t="str">
            <v>2002-00113</v>
          </cell>
          <cell r="B94">
            <v>37377</v>
          </cell>
          <cell r="C94">
            <v>0</v>
          </cell>
          <cell r="D94">
            <v>0</v>
          </cell>
          <cell r="E94">
            <v>0</v>
          </cell>
          <cell r="F94">
            <v>0</v>
          </cell>
          <cell r="H94">
            <v>0</v>
          </cell>
          <cell r="I94">
            <v>0</v>
          </cell>
          <cell r="J94">
            <v>0</v>
          </cell>
          <cell r="K94">
            <v>0</v>
          </cell>
        </row>
        <row r="95">
          <cell r="A95" t="str">
            <v>2002-00251</v>
          </cell>
          <cell r="B95">
            <v>37469</v>
          </cell>
          <cell r="C95">
            <v>-9.4000000000000004E-3</v>
          </cell>
          <cell r="D95">
            <v>-1.8E-3</v>
          </cell>
          <cell r="E95">
            <v>0</v>
          </cell>
          <cell r="F95">
            <v>0</v>
          </cell>
          <cell r="H95">
            <v>-9.4000000000000004E-3</v>
          </cell>
          <cell r="I95">
            <v>-1.8E-3</v>
          </cell>
          <cell r="J95">
            <v>0</v>
          </cell>
          <cell r="K95">
            <v>0</v>
          </cell>
        </row>
        <row r="96">
          <cell r="A96" t="str">
            <v>2002-00359</v>
          </cell>
          <cell r="B96">
            <v>37561</v>
          </cell>
          <cell r="C96">
            <v>-0.14760000000000001</v>
          </cell>
          <cell r="D96">
            <v>-2.93E-2</v>
          </cell>
          <cell r="E96">
            <v>0</v>
          </cell>
          <cell r="F96">
            <v>0</v>
          </cell>
          <cell r="H96">
            <v>-0.157</v>
          </cell>
          <cell r="I96">
            <v>-3.1099999999999999E-2</v>
          </cell>
          <cell r="J96">
            <v>0</v>
          </cell>
          <cell r="K96">
            <v>0</v>
          </cell>
        </row>
        <row r="97">
          <cell r="A97" t="str">
            <v>2003-00002</v>
          </cell>
          <cell r="B97">
            <v>37653</v>
          </cell>
          <cell r="C97">
            <v>0</v>
          </cell>
          <cell r="D97">
            <v>0</v>
          </cell>
          <cell r="E97">
            <v>0</v>
          </cell>
          <cell r="F97">
            <v>0</v>
          </cell>
          <cell r="H97">
            <v>-0.157</v>
          </cell>
          <cell r="I97">
            <v>-3.1099999999999999E-2</v>
          </cell>
          <cell r="J97">
            <v>0</v>
          </cell>
          <cell r="K97">
            <v>0</v>
          </cell>
        </row>
        <row r="98">
          <cell r="A98" t="str">
            <v>2003-00083</v>
          </cell>
          <cell r="B98">
            <v>37713</v>
          </cell>
          <cell r="C98" t="e">
            <v>#REF!</v>
          </cell>
          <cell r="D98" t="e">
            <v>#REF!</v>
          </cell>
          <cell r="E98">
            <v>0</v>
          </cell>
          <cell r="F98">
            <v>0</v>
          </cell>
          <cell r="H98" t="e">
            <v>#REF!</v>
          </cell>
          <cell r="I98" t="e">
            <v>#REF!</v>
          </cell>
          <cell r="J98">
            <v>0</v>
          </cell>
          <cell r="K98">
            <v>0</v>
          </cell>
        </row>
        <row r="99">
          <cell r="A99" t="str">
            <v>2003-00126</v>
          </cell>
          <cell r="B99">
            <v>37742</v>
          </cell>
          <cell r="C99">
            <v>0</v>
          </cell>
          <cell r="D99">
            <v>0</v>
          </cell>
          <cell r="E99">
            <v>0</v>
          </cell>
          <cell r="F99">
            <v>0</v>
          </cell>
          <cell r="H99" t="e">
            <v>#REF!</v>
          </cell>
          <cell r="I99" t="e">
            <v>#REF!</v>
          </cell>
          <cell r="J99">
            <v>0</v>
          </cell>
          <cell r="K99">
            <v>0</v>
          </cell>
        </row>
        <row r="100">
          <cell r="A100" t="str">
            <v>2003-00258</v>
          </cell>
          <cell r="B100">
            <v>37834</v>
          </cell>
          <cell r="C100">
            <v>0</v>
          </cell>
          <cell r="D100">
            <v>0</v>
          </cell>
          <cell r="E100">
            <v>0</v>
          </cell>
          <cell r="F100">
            <v>0</v>
          </cell>
          <cell r="H100" t="e">
            <v>#REF!</v>
          </cell>
          <cell r="I100" t="e">
            <v>#REF!</v>
          </cell>
          <cell r="J100">
            <v>0</v>
          </cell>
          <cell r="K100">
            <v>0</v>
          </cell>
        </row>
        <row r="101">
          <cell r="A101" t="str">
            <v>2003-00377</v>
          </cell>
          <cell r="B101">
            <v>37926</v>
          </cell>
          <cell r="C101">
            <v>0</v>
          </cell>
          <cell r="D101">
            <v>0</v>
          </cell>
          <cell r="E101">
            <v>0</v>
          </cell>
          <cell r="F101">
            <v>0</v>
          </cell>
          <cell r="H101" t="e">
            <v>#REF!</v>
          </cell>
          <cell r="I101" t="e">
            <v>#REF!</v>
          </cell>
          <cell r="J101">
            <v>0</v>
          </cell>
          <cell r="K101">
            <v>0</v>
          </cell>
        </row>
        <row r="102">
          <cell r="A102" t="str">
            <v>2003-00504</v>
          </cell>
          <cell r="B102">
            <v>38018</v>
          </cell>
          <cell r="C102">
            <v>0</v>
          </cell>
          <cell r="D102">
            <v>0</v>
          </cell>
          <cell r="E102">
            <v>0</v>
          </cell>
          <cell r="F102">
            <v>0</v>
          </cell>
          <cell r="H102" t="e">
            <v>#REF!</v>
          </cell>
          <cell r="I102" t="e">
            <v>#REF!</v>
          </cell>
          <cell r="J102">
            <v>0</v>
          </cell>
          <cell r="K102">
            <v>0</v>
          </cell>
        </row>
        <row r="103">
          <cell r="A103" t="str">
            <v>2004-00122</v>
          </cell>
          <cell r="B103">
            <v>38108</v>
          </cell>
          <cell r="C103">
            <v>0</v>
          </cell>
          <cell r="D103">
            <v>0</v>
          </cell>
          <cell r="E103">
            <v>0</v>
          </cell>
          <cell r="F103">
            <v>0</v>
          </cell>
          <cell r="H103">
            <v>0</v>
          </cell>
          <cell r="I103">
            <v>0</v>
          </cell>
          <cell r="J103">
            <v>0</v>
          </cell>
          <cell r="K103">
            <v>0</v>
          </cell>
        </row>
        <row r="104">
          <cell r="A104" t="str">
            <v>2004-00269</v>
          </cell>
          <cell r="B104">
            <v>38200</v>
          </cell>
          <cell r="C104">
            <v>0</v>
          </cell>
          <cell r="D104">
            <v>0</v>
          </cell>
          <cell r="E104">
            <v>0</v>
          </cell>
          <cell r="F104">
            <v>0</v>
          </cell>
          <cell r="H104">
            <v>0</v>
          </cell>
          <cell r="I104">
            <v>0</v>
          </cell>
          <cell r="J104">
            <v>0</v>
          </cell>
          <cell r="K104">
            <v>0</v>
          </cell>
        </row>
        <row r="105">
          <cell r="A105" t="str">
            <v>2004-00399</v>
          </cell>
          <cell r="B105">
            <v>2132</v>
          </cell>
          <cell r="C105">
            <v>0</v>
          </cell>
          <cell r="D105">
            <v>0</v>
          </cell>
          <cell r="E105">
            <v>0</v>
          </cell>
          <cell r="F105">
            <v>0</v>
          </cell>
          <cell r="H105">
            <v>0</v>
          </cell>
          <cell r="I105">
            <v>0</v>
          </cell>
          <cell r="J105">
            <v>0</v>
          </cell>
          <cell r="K105">
            <v>0</v>
          </cell>
        </row>
        <row r="106">
          <cell r="A106" t="str">
            <v>2004-00552</v>
          </cell>
          <cell r="B106">
            <v>2224</v>
          </cell>
          <cell r="C106">
            <v>0</v>
          </cell>
          <cell r="D106">
            <v>0</v>
          </cell>
          <cell r="E106">
            <v>0</v>
          </cell>
          <cell r="F106">
            <v>0</v>
          </cell>
          <cell r="H106">
            <v>0</v>
          </cell>
          <cell r="I106">
            <v>0</v>
          </cell>
          <cell r="J106">
            <v>0</v>
          </cell>
          <cell r="K106">
            <v>0</v>
          </cell>
        </row>
        <row r="107">
          <cell r="A107" t="str">
            <v>2006-00428</v>
          </cell>
          <cell r="B107">
            <v>39022</v>
          </cell>
          <cell r="C107">
            <v>0</v>
          </cell>
          <cell r="D107">
            <v>0</v>
          </cell>
          <cell r="E107">
            <v>0</v>
          </cell>
          <cell r="F107">
            <v>0</v>
          </cell>
          <cell r="H107">
            <v>0</v>
          </cell>
          <cell r="I107">
            <v>0</v>
          </cell>
          <cell r="J107">
            <v>0</v>
          </cell>
          <cell r="K107">
            <v>0</v>
          </cell>
        </row>
        <row r="108">
          <cell r="B108">
            <v>54789</v>
          </cell>
        </row>
      </sheetData>
      <sheetData sheetId="50">
        <row r="8">
          <cell r="A8" t="str">
            <v>95-010 A</v>
          </cell>
          <cell r="B8">
            <v>34999</v>
          </cell>
          <cell r="C8">
            <v>-0.16750000000000001</v>
          </cell>
        </row>
        <row r="9">
          <cell r="A9" t="str">
            <v>95-010 B</v>
          </cell>
          <cell r="B9">
            <v>34999</v>
          </cell>
          <cell r="C9">
            <v>-0.16750000000000001</v>
          </cell>
        </row>
        <row r="10">
          <cell r="A10" t="str">
            <v>95-010 C</v>
          </cell>
          <cell r="B10">
            <v>34999</v>
          </cell>
          <cell r="C10">
            <v>-0.16750000000000001</v>
          </cell>
        </row>
        <row r="11">
          <cell r="A11" t="str">
            <v>95-010 D</v>
          </cell>
          <cell r="B11">
            <v>34999</v>
          </cell>
          <cell r="C11">
            <v>-0.16750000000000001</v>
          </cell>
        </row>
        <row r="12">
          <cell r="A12" t="str">
            <v>95-010 E</v>
          </cell>
          <cell r="B12">
            <v>34999</v>
          </cell>
          <cell r="C12">
            <v>-0.16750000000000001</v>
          </cell>
        </row>
        <row r="13">
          <cell r="A13" t="str">
            <v>95-010 F</v>
          </cell>
          <cell r="B13">
            <v>34999</v>
          </cell>
          <cell r="C13">
            <v>-0.16750000000000001</v>
          </cell>
        </row>
        <row r="14">
          <cell r="A14" t="str">
            <v>95-010 G</v>
          </cell>
          <cell r="B14">
            <v>35156</v>
          </cell>
          <cell r="C14">
            <v>-0.121</v>
          </cell>
        </row>
        <row r="15">
          <cell r="A15" t="str">
            <v>95-010 H</v>
          </cell>
          <cell r="B15">
            <v>35156</v>
          </cell>
          <cell r="C15">
            <v>-0.121</v>
          </cell>
        </row>
        <row r="16">
          <cell r="A16" t="str">
            <v>95-010 I</v>
          </cell>
          <cell r="B16">
            <v>35156</v>
          </cell>
          <cell r="C16">
            <v>-0.121</v>
          </cell>
        </row>
        <row r="17">
          <cell r="A17" t="str">
            <v>95-010 J</v>
          </cell>
          <cell r="B17">
            <v>35156</v>
          </cell>
          <cell r="C17">
            <v>-0.121</v>
          </cell>
        </row>
        <row r="18">
          <cell r="A18" t="str">
            <v>95-010 K</v>
          </cell>
          <cell r="B18">
            <v>35156</v>
          </cell>
          <cell r="C18">
            <v>-0.121</v>
          </cell>
        </row>
        <row r="19">
          <cell r="A19" t="str">
            <v>95-010 L</v>
          </cell>
          <cell r="B19">
            <v>35156</v>
          </cell>
          <cell r="C19">
            <v>-0.121</v>
          </cell>
        </row>
        <row r="20">
          <cell r="A20" t="str">
            <v>95-010 M</v>
          </cell>
          <cell r="B20">
            <v>35339</v>
          </cell>
          <cell r="C20">
            <v>-3.3999999999999998E-3</v>
          </cell>
        </row>
        <row r="21">
          <cell r="A21" t="str">
            <v>95-010 N</v>
          </cell>
          <cell r="B21">
            <v>35339</v>
          </cell>
          <cell r="C21">
            <v>-3.3999999999999998E-3</v>
          </cell>
        </row>
        <row r="22">
          <cell r="A22" t="str">
            <v>95-010 O</v>
          </cell>
          <cell r="B22">
            <v>35339</v>
          </cell>
          <cell r="C22">
            <v>-3.3999999999999998E-3</v>
          </cell>
        </row>
        <row r="23">
          <cell r="A23" t="str">
            <v>95-010 P</v>
          </cell>
          <cell r="B23">
            <v>35339</v>
          </cell>
          <cell r="C23">
            <v>-3.3999999999999998E-3</v>
          </cell>
        </row>
        <row r="24">
          <cell r="A24" t="str">
            <v>95-010 Q</v>
          </cell>
          <cell r="B24">
            <v>35339</v>
          </cell>
          <cell r="C24">
            <v>-3.3999999999999998E-3</v>
          </cell>
        </row>
        <row r="25">
          <cell r="A25" t="str">
            <v>95-010 R</v>
          </cell>
          <cell r="B25">
            <v>35339</v>
          </cell>
          <cell r="C25">
            <v>-3.3999999999999998E-3</v>
          </cell>
        </row>
        <row r="26">
          <cell r="A26" t="str">
            <v>95-010 S</v>
          </cell>
          <cell r="B26">
            <v>35521</v>
          </cell>
          <cell r="C26">
            <v>9.3799999999999994E-2</v>
          </cell>
        </row>
        <row r="27">
          <cell r="A27" t="str">
            <v>95-010 T</v>
          </cell>
          <cell r="B27">
            <v>35521</v>
          </cell>
          <cell r="C27">
            <v>9.3799999999999994E-2</v>
          </cell>
        </row>
        <row r="28">
          <cell r="A28" t="str">
            <v>95-010 U</v>
          </cell>
          <cell r="B28">
            <v>35521</v>
          </cell>
          <cell r="C28">
            <v>9.3799999999999994E-2</v>
          </cell>
        </row>
        <row r="29">
          <cell r="A29" t="str">
            <v>95-010 V</v>
          </cell>
          <cell r="B29">
            <v>35521</v>
          </cell>
          <cell r="C29">
            <v>9.3799999999999994E-2</v>
          </cell>
        </row>
        <row r="30">
          <cell r="A30" t="str">
            <v>95-010 W</v>
          </cell>
          <cell r="B30">
            <v>35521</v>
          </cell>
          <cell r="C30">
            <v>9.3799999999999994E-2</v>
          </cell>
        </row>
        <row r="31">
          <cell r="A31" t="str">
            <v>95-010 X</v>
          </cell>
          <cell r="B31">
            <v>35521</v>
          </cell>
          <cell r="C31">
            <v>9.3799999999999994E-2</v>
          </cell>
        </row>
        <row r="32">
          <cell r="A32" t="str">
            <v>95-010 Y</v>
          </cell>
          <cell r="B32">
            <v>35704</v>
          </cell>
          <cell r="C32">
            <v>0.1211</v>
          </cell>
        </row>
        <row r="33">
          <cell r="A33" t="str">
            <v>95-010 Z</v>
          </cell>
          <cell r="B33">
            <v>35704</v>
          </cell>
          <cell r="C33">
            <v>0.1211</v>
          </cell>
        </row>
        <row r="34">
          <cell r="A34" t="str">
            <v>95-010 AA</v>
          </cell>
          <cell r="B34">
            <v>35704</v>
          </cell>
          <cell r="C34">
            <v>0.1211</v>
          </cell>
        </row>
        <row r="35">
          <cell r="A35" t="str">
            <v>95-010 BB</v>
          </cell>
          <cell r="B35">
            <v>35704</v>
          </cell>
          <cell r="C35">
            <v>0.1211</v>
          </cell>
        </row>
        <row r="36">
          <cell r="A36" t="str">
            <v>95-010 CC</v>
          </cell>
          <cell r="B36">
            <v>35704</v>
          </cell>
          <cell r="C36">
            <v>0.1211</v>
          </cell>
        </row>
        <row r="37">
          <cell r="A37" t="str">
            <v>95-010 DD</v>
          </cell>
          <cell r="B37">
            <v>35704</v>
          </cell>
          <cell r="C37">
            <v>0.1211</v>
          </cell>
        </row>
        <row r="38">
          <cell r="A38" t="str">
            <v>95-010 EE</v>
          </cell>
          <cell r="B38">
            <v>35886</v>
          </cell>
          <cell r="C38">
            <v>-0.1147</v>
          </cell>
        </row>
        <row r="39">
          <cell r="A39" t="str">
            <v>95-010 FF</v>
          </cell>
          <cell r="B39">
            <v>35886</v>
          </cell>
          <cell r="C39">
            <v>-0.1147</v>
          </cell>
        </row>
        <row r="40">
          <cell r="A40" t="str">
            <v>95-010 GG</v>
          </cell>
          <cell r="B40">
            <v>35886</v>
          </cell>
          <cell r="C40">
            <v>-0.1147</v>
          </cell>
        </row>
        <row r="41">
          <cell r="A41" t="str">
            <v>95-010 HH</v>
          </cell>
          <cell r="B41">
            <v>35886</v>
          </cell>
          <cell r="C41">
            <v>-0.1147</v>
          </cell>
        </row>
        <row r="42">
          <cell r="A42" t="str">
            <v>95-010 II</v>
          </cell>
          <cell r="B42">
            <v>35886</v>
          </cell>
          <cell r="C42">
            <v>-0.1147</v>
          </cell>
        </row>
        <row r="43">
          <cell r="A43" t="str">
            <v>95-010 JJ</v>
          </cell>
          <cell r="B43">
            <v>35886</v>
          </cell>
          <cell r="C43">
            <v>-0.1147</v>
          </cell>
        </row>
        <row r="44">
          <cell r="A44" t="str">
            <v>95-010 KK</v>
          </cell>
          <cell r="B44">
            <v>36069</v>
          </cell>
          <cell r="C44">
            <v>-0.311</v>
          </cell>
        </row>
        <row r="45">
          <cell r="A45" t="str">
            <v>95-010 LL</v>
          </cell>
          <cell r="B45">
            <v>36069</v>
          </cell>
          <cell r="C45">
            <v>-0.311</v>
          </cell>
        </row>
        <row r="46">
          <cell r="A46" t="str">
            <v>95-010 MM</v>
          </cell>
          <cell r="B46">
            <v>36069</v>
          </cell>
          <cell r="C46">
            <v>-0.311</v>
          </cell>
        </row>
        <row r="47">
          <cell r="A47" t="str">
            <v>95-010 NN</v>
          </cell>
          <cell r="B47">
            <v>36069</v>
          </cell>
          <cell r="C47">
            <v>-0.311</v>
          </cell>
        </row>
        <row r="48">
          <cell r="A48" t="str">
            <v>95-010 OO</v>
          </cell>
          <cell r="B48">
            <v>36069</v>
          </cell>
          <cell r="C48">
            <v>-0.311</v>
          </cell>
        </row>
        <row r="49">
          <cell r="A49" t="str">
            <v>95-010 PP</v>
          </cell>
          <cell r="B49">
            <v>36069</v>
          </cell>
          <cell r="C49">
            <v>-0.311</v>
          </cell>
        </row>
        <row r="50">
          <cell r="A50" t="str">
            <v>95-010 QQ</v>
          </cell>
          <cell r="B50">
            <v>36251</v>
          </cell>
          <cell r="C50">
            <v>-0.18820000000000001</v>
          </cell>
        </row>
        <row r="51">
          <cell r="A51" t="str">
            <v>95-010 RR</v>
          </cell>
          <cell r="B51">
            <v>36251</v>
          </cell>
          <cell r="C51">
            <v>-0.18820000000000001</v>
          </cell>
        </row>
        <row r="52">
          <cell r="A52" t="str">
            <v>95-010 SS</v>
          </cell>
          <cell r="B52">
            <v>36251</v>
          </cell>
          <cell r="C52">
            <v>-0.18820000000000001</v>
          </cell>
        </row>
        <row r="53">
          <cell r="A53" t="str">
            <v>95-010 TT</v>
          </cell>
          <cell r="B53">
            <v>36251</v>
          </cell>
          <cell r="C53">
            <v>-0.18820000000000001</v>
          </cell>
        </row>
        <row r="54">
          <cell r="A54" t="str">
            <v>95-010 UU</v>
          </cell>
          <cell r="B54">
            <v>36251</v>
          </cell>
          <cell r="C54">
            <v>-0.18820000000000001</v>
          </cell>
        </row>
        <row r="55">
          <cell r="A55" t="str">
            <v>95-010 VV</v>
          </cell>
          <cell r="B55">
            <v>36251</v>
          </cell>
          <cell r="C55">
            <v>-0.18820000000000001</v>
          </cell>
        </row>
        <row r="56">
          <cell r="A56" t="str">
            <v>95-010 WW</v>
          </cell>
          <cell r="B56">
            <v>36434</v>
          </cell>
          <cell r="C56">
            <v>-0.22389999999999999</v>
          </cell>
        </row>
        <row r="57">
          <cell r="A57" t="str">
            <v>95-010 XX</v>
          </cell>
          <cell r="B57">
            <v>36434</v>
          </cell>
          <cell r="C57">
            <v>-0.22389999999999999</v>
          </cell>
        </row>
        <row r="58">
          <cell r="A58" t="str">
            <v>95-010 YY</v>
          </cell>
          <cell r="B58">
            <v>36434</v>
          </cell>
          <cell r="C58">
            <v>-0.22389999999999999</v>
          </cell>
        </row>
        <row r="59">
          <cell r="A59" t="str">
            <v>99-070</v>
          </cell>
          <cell r="B59">
            <v>36434</v>
          </cell>
          <cell r="C59">
            <v>-0.22389999999999999</v>
          </cell>
        </row>
        <row r="60">
          <cell r="A60" t="str">
            <v>99-070 A</v>
          </cell>
          <cell r="B60">
            <v>36434</v>
          </cell>
          <cell r="C60">
            <v>-0.22389999999999999</v>
          </cell>
        </row>
        <row r="61">
          <cell r="A61" t="str">
            <v>1999-070 B</v>
          </cell>
          <cell r="B61">
            <v>36617</v>
          </cell>
          <cell r="C61">
            <v>0</v>
          </cell>
        </row>
        <row r="62">
          <cell r="A62" t="str">
            <v>1999-070 C</v>
          </cell>
          <cell r="B62">
            <v>36647</v>
          </cell>
          <cell r="C62">
            <v>0.25019999999999998</v>
          </cell>
        </row>
        <row r="63">
          <cell r="A63" t="str">
            <v>1999-070 D</v>
          </cell>
          <cell r="B63">
            <v>36647</v>
          </cell>
          <cell r="C63">
            <v>0.25019999999999998</v>
          </cell>
        </row>
        <row r="64">
          <cell r="A64" t="str">
            <v>1999-070 E</v>
          </cell>
          <cell r="B64">
            <v>36647</v>
          </cell>
          <cell r="C64">
            <v>0.25019999999999998</v>
          </cell>
        </row>
        <row r="65">
          <cell r="A65" t="str">
            <v>1999-070 F</v>
          </cell>
          <cell r="B65">
            <v>36647</v>
          </cell>
          <cell r="C65">
            <v>0.25019999999999998</v>
          </cell>
        </row>
        <row r="66">
          <cell r="A66" t="str">
            <v>1999-070 G</v>
          </cell>
          <cell r="B66">
            <v>36831</v>
          </cell>
          <cell r="C66">
            <v>1.1344000000000001</v>
          </cell>
        </row>
        <row r="67">
          <cell r="A67" t="str">
            <v>1999-070 H</v>
          </cell>
          <cell r="B67">
            <v>36831</v>
          </cell>
          <cell r="C67">
            <v>1.1344000000000001</v>
          </cell>
        </row>
        <row r="68">
          <cell r="A68" t="str">
            <v>1999-070 I</v>
          </cell>
          <cell r="B68">
            <v>36831</v>
          </cell>
          <cell r="C68">
            <v>1.1344000000000001</v>
          </cell>
        </row>
        <row r="69">
          <cell r="A69" t="str">
            <v>1999-070 J</v>
          </cell>
          <cell r="B69">
            <v>36831</v>
          </cell>
          <cell r="C69">
            <v>1.1344000000000001</v>
          </cell>
        </row>
        <row r="70">
          <cell r="A70" t="str">
            <v>1999-070 K</v>
          </cell>
          <cell r="B70">
            <v>37012</v>
          </cell>
          <cell r="C70">
            <v>1.4216</v>
          </cell>
        </row>
        <row r="71">
          <cell r="A71" t="str">
            <v>1999-070 L</v>
          </cell>
          <cell r="B71">
            <v>37012</v>
          </cell>
          <cell r="C71">
            <v>1.4216</v>
          </cell>
        </row>
        <row r="72">
          <cell r="A72" t="str">
            <v>1999-070 M</v>
          </cell>
          <cell r="B72">
            <v>37012</v>
          </cell>
          <cell r="C72">
            <v>1.4216</v>
          </cell>
        </row>
        <row r="73">
          <cell r="A73" t="str">
            <v>1999-070 N</v>
          </cell>
          <cell r="B73">
            <v>37012</v>
          </cell>
          <cell r="C73">
            <v>1.4216</v>
          </cell>
        </row>
        <row r="74">
          <cell r="A74" t="str">
            <v>1999-070 O</v>
          </cell>
          <cell r="B74">
            <v>37196</v>
          </cell>
          <cell r="C74">
            <v>0.1522</v>
          </cell>
        </row>
        <row r="75">
          <cell r="A75" t="str">
            <v>1999-070 P</v>
          </cell>
          <cell r="B75">
            <v>37288</v>
          </cell>
          <cell r="C75">
            <v>3.8899999999999997E-2</v>
          </cell>
        </row>
        <row r="76">
          <cell r="A76" t="str">
            <v>2002-00113</v>
          </cell>
          <cell r="B76">
            <v>37377</v>
          </cell>
          <cell r="C76">
            <v>-0.2407</v>
          </cell>
        </row>
        <row r="77">
          <cell r="A77" t="str">
            <v>2002-00251</v>
          </cell>
          <cell r="B77">
            <v>37469</v>
          </cell>
          <cell r="C77">
            <v>-0.2248</v>
          </cell>
        </row>
        <row r="78">
          <cell r="A78" t="str">
            <v>2002-00359</v>
          </cell>
          <cell r="B78">
            <v>37561</v>
          </cell>
          <cell r="C78">
            <v>5.1999999999999998E-3</v>
          </cell>
        </row>
        <row r="79">
          <cell r="A79" t="str">
            <v>2003-00002</v>
          </cell>
          <cell r="B79">
            <v>37653</v>
          </cell>
          <cell r="C79">
            <v>0.1686</v>
          </cell>
        </row>
        <row r="80">
          <cell r="A80" t="str">
            <v>2003-00083</v>
          </cell>
          <cell r="B80">
            <v>37653</v>
          </cell>
          <cell r="C80">
            <v>0.1686</v>
          </cell>
        </row>
        <row r="81">
          <cell r="A81" t="str">
            <v>2003-00126</v>
          </cell>
          <cell r="B81">
            <v>37742</v>
          </cell>
          <cell r="C81">
            <v>0.21640000000000001</v>
          </cell>
        </row>
        <row r="82">
          <cell r="A82" t="str">
            <v>2003-00258</v>
          </cell>
          <cell r="B82">
            <v>37834</v>
          </cell>
          <cell r="C82">
            <v>0.45200000000000001</v>
          </cell>
        </row>
        <row r="83">
          <cell r="A83" t="str">
            <v>2003-00377</v>
          </cell>
          <cell r="B83">
            <v>37926</v>
          </cell>
          <cell r="C83">
            <v>0.54669999999999996</v>
          </cell>
        </row>
        <row r="84">
          <cell r="A84" t="str">
            <v>2003-00504</v>
          </cell>
          <cell r="B84">
            <v>38018</v>
          </cell>
          <cell r="C84">
            <v>0.5554</v>
          </cell>
        </row>
        <row r="85">
          <cell r="A85" t="str">
            <v>2004-00122</v>
          </cell>
          <cell r="B85">
            <v>38108</v>
          </cell>
          <cell r="C85">
            <v>0.14910000000000001</v>
          </cell>
        </row>
        <row r="86">
          <cell r="A86" t="str">
            <v>2004-00269</v>
          </cell>
          <cell r="B86">
            <v>38200</v>
          </cell>
          <cell r="C86">
            <v>0.1148</v>
          </cell>
        </row>
        <row r="87">
          <cell r="A87" t="str">
            <v>2004-00398</v>
          </cell>
          <cell r="B87">
            <v>38292</v>
          </cell>
          <cell r="C87">
            <v>0.2064</v>
          </cell>
        </row>
        <row r="88">
          <cell r="A88" t="str">
            <v>2005-00013</v>
          </cell>
          <cell r="B88">
            <v>38384</v>
          </cell>
          <cell r="C88">
            <v>0.3876</v>
          </cell>
        </row>
        <row r="89">
          <cell r="A89" t="str">
            <v>2005-00139</v>
          </cell>
          <cell r="B89">
            <v>38473</v>
          </cell>
          <cell r="C89">
            <v>0.34960000000000002</v>
          </cell>
        </row>
        <row r="90">
          <cell r="A90" t="str">
            <v>2005-00271</v>
          </cell>
          <cell r="B90">
            <v>38565</v>
          </cell>
          <cell r="C90">
            <v>5.7599999999999998E-2</v>
          </cell>
        </row>
        <row r="91">
          <cell r="A91" t="str">
            <v>2005-00399</v>
          </cell>
          <cell r="B91">
            <v>38657</v>
          </cell>
          <cell r="C91">
            <v>0.40460000000000002</v>
          </cell>
        </row>
        <row r="92">
          <cell r="A92" t="str">
            <v>2005-00552</v>
          </cell>
          <cell r="B92">
            <v>38749</v>
          </cell>
          <cell r="C92">
            <v>0.77170000000000005</v>
          </cell>
        </row>
        <row r="93">
          <cell r="A93" t="str">
            <v>2006-00135</v>
          </cell>
          <cell r="B93">
            <v>2313</v>
          </cell>
          <cell r="C93">
            <v>0.29880000000000001</v>
          </cell>
        </row>
        <row r="94">
          <cell r="A94" t="str">
            <v>2006-00324</v>
          </cell>
          <cell r="B94">
            <v>38930</v>
          </cell>
          <cell r="C94">
            <v>-0.1749</v>
          </cell>
        </row>
        <row r="95">
          <cell r="A95" t="str">
            <v>2006-00428</v>
          </cell>
          <cell r="B95">
            <v>39022</v>
          </cell>
          <cell r="C95">
            <v>-0.30880000000000002</v>
          </cell>
        </row>
        <row r="96">
          <cell r="A96" t="str">
            <v>2006-00000</v>
          </cell>
          <cell r="B96">
            <v>39114</v>
          </cell>
          <cell r="C96">
            <v>5.5100000000000003E-2</v>
          </cell>
        </row>
        <row r="97">
          <cell r="B97">
            <v>54789</v>
          </cell>
        </row>
      </sheetData>
      <sheetData sheetId="51">
        <row r="8">
          <cell r="A8" t="str">
            <v>95-010 OO</v>
          </cell>
          <cell r="B8">
            <v>36192</v>
          </cell>
          <cell r="C8">
            <v>2.47E-2</v>
          </cell>
        </row>
        <row r="9">
          <cell r="A9" t="str">
            <v>95-010 PP</v>
          </cell>
          <cell r="B9">
            <v>36192</v>
          </cell>
          <cell r="C9">
            <v>2.47E-2</v>
          </cell>
        </row>
        <row r="10">
          <cell r="A10" t="str">
            <v>95-010 QQ</v>
          </cell>
          <cell r="B10">
            <v>36192</v>
          </cell>
          <cell r="C10">
            <v>2.47E-2</v>
          </cell>
        </row>
        <row r="11">
          <cell r="A11" t="str">
            <v>95-010 RR</v>
          </cell>
          <cell r="B11">
            <v>36192</v>
          </cell>
          <cell r="C11">
            <v>2.47E-2</v>
          </cell>
        </row>
        <row r="12">
          <cell r="A12" t="str">
            <v>95-010 SS</v>
          </cell>
          <cell r="B12">
            <v>36192</v>
          </cell>
          <cell r="C12">
            <v>2.47E-2</v>
          </cell>
        </row>
        <row r="13">
          <cell r="A13" t="str">
            <v>95-010 TT</v>
          </cell>
          <cell r="B13">
            <v>36192</v>
          </cell>
          <cell r="C13">
            <v>2.47E-2</v>
          </cell>
        </row>
        <row r="14">
          <cell r="A14" t="str">
            <v>95-010 UU</v>
          </cell>
          <cell r="B14">
            <v>36192</v>
          </cell>
          <cell r="C14">
            <v>2.47E-2</v>
          </cell>
        </row>
        <row r="15">
          <cell r="A15" t="str">
            <v>95-010 VV</v>
          </cell>
          <cell r="B15">
            <v>36192</v>
          </cell>
          <cell r="C15">
            <v>2.47E-2</v>
          </cell>
        </row>
        <row r="16">
          <cell r="A16" t="str">
            <v>95-010 WW</v>
          </cell>
          <cell r="B16">
            <v>36192</v>
          </cell>
          <cell r="C16">
            <v>2.47E-2</v>
          </cell>
        </row>
        <row r="17">
          <cell r="A17" t="str">
            <v>95-010 XX</v>
          </cell>
          <cell r="B17">
            <v>36192</v>
          </cell>
          <cell r="C17">
            <v>2.47E-2</v>
          </cell>
        </row>
        <row r="18">
          <cell r="A18" t="str">
            <v>95-010 YY</v>
          </cell>
          <cell r="B18">
            <v>36192</v>
          </cell>
          <cell r="C18">
            <v>2.47E-2</v>
          </cell>
        </row>
        <row r="19">
          <cell r="A19" t="str">
            <v>99-070</v>
          </cell>
          <cell r="B19">
            <v>36192</v>
          </cell>
          <cell r="C19">
            <v>2.47E-2</v>
          </cell>
        </row>
        <row r="20">
          <cell r="A20" t="str">
            <v>99-070 A</v>
          </cell>
          <cell r="B20">
            <v>36557</v>
          </cell>
          <cell r="C20">
            <v>9.3399999999999997E-2</v>
          </cell>
        </row>
        <row r="21">
          <cell r="A21" t="str">
            <v>1999-070 B</v>
          </cell>
          <cell r="B21">
            <v>36557</v>
          </cell>
          <cell r="C21">
            <v>9.3399999999999997E-2</v>
          </cell>
        </row>
        <row r="22">
          <cell r="A22" t="str">
            <v>1999-070 C</v>
          </cell>
          <cell r="B22">
            <v>36557</v>
          </cell>
          <cell r="C22">
            <v>9.3399999999999997E-2</v>
          </cell>
        </row>
        <row r="23">
          <cell r="A23" t="str">
            <v>1999-070 D</v>
          </cell>
          <cell r="B23">
            <v>36557</v>
          </cell>
          <cell r="C23">
            <v>9.3399999999999997E-2</v>
          </cell>
        </row>
        <row r="24">
          <cell r="A24" t="str">
            <v>1999-070 E</v>
          </cell>
          <cell r="B24">
            <v>36557</v>
          </cell>
          <cell r="C24">
            <v>9.3399999999999997E-2</v>
          </cell>
        </row>
        <row r="25">
          <cell r="A25" t="str">
            <v>1999-070 F</v>
          </cell>
          <cell r="B25">
            <v>36557</v>
          </cell>
          <cell r="C25">
            <v>9.3399999999999997E-2</v>
          </cell>
        </row>
        <row r="26">
          <cell r="A26" t="str">
            <v>1999-070 G</v>
          </cell>
          <cell r="B26">
            <v>36557</v>
          </cell>
          <cell r="C26">
            <v>9.3399999999999997E-2</v>
          </cell>
        </row>
        <row r="27">
          <cell r="A27" t="str">
            <v>1999-070 H</v>
          </cell>
          <cell r="B27">
            <v>36923</v>
          </cell>
          <cell r="C27">
            <v>6.0199999999999997E-2</v>
          </cell>
        </row>
        <row r="28">
          <cell r="A28" t="str">
            <v>1999-070 I</v>
          </cell>
          <cell r="B28">
            <v>36923</v>
          </cell>
          <cell r="C28">
            <v>6.0199999999999997E-2</v>
          </cell>
        </row>
        <row r="29">
          <cell r="A29" t="str">
            <v>1999-070 J</v>
          </cell>
          <cell r="B29">
            <v>36923</v>
          </cell>
          <cell r="C29">
            <v>6.0199999999999997E-2</v>
          </cell>
        </row>
        <row r="30">
          <cell r="A30" t="str">
            <v>1999-070 K</v>
          </cell>
          <cell r="B30">
            <v>36923</v>
          </cell>
          <cell r="C30">
            <v>6.0199999999999997E-2</v>
          </cell>
        </row>
        <row r="31">
          <cell r="A31" t="str">
            <v>1999-070 L</v>
          </cell>
          <cell r="B31">
            <v>36923</v>
          </cell>
          <cell r="C31">
            <v>6.0199999999999997E-2</v>
          </cell>
        </row>
        <row r="32">
          <cell r="A32" t="str">
            <v>1999-070 M</v>
          </cell>
          <cell r="B32">
            <v>36923</v>
          </cell>
          <cell r="C32">
            <v>6.0199999999999997E-2</v>
          </cell>
        </row>
        <row r="33">
          <cell r="A33" t="str">
            <v>1999-070 N</v>
          </cell>
          <cell r="B33">
            <v>36923</v>
          </cell>
          <cell r="C33">
            <v>6.0199999999999997E-2</v>
          </cell>
        </row>
        <row r="34">
          <cell r="A34" t="str">
            <v>1999-070 O</v>
          </cell>
          <cell r="B34">
            <v>36923</v>
          </cell>
          <cell r="C34">
            <v>6.0199999999999997E-2</v>
          </cell>
        </row>
        <row r="35">
          <cell r="A35" t="str">
            <v>1999-070 P</v>
          </cell>
          <cell r="B35">
            <v>37288</v>
          </cell>
          <cell r="C35">
            <v>2.3699999999999999E-2</v>
          </cell>
        </row>
        <row r="36">
          <cell r="A36" t="str">
            <v>2002-00113</v>
          </cell>
          <cell r="B36">
            <v>37377</v>
          </cell>
          <cell r="C36">
            <v>2.3699999999999999E-2</v>
          </cell>
        </row>
        <row r="37">
          <cell r="A37" t="str">
            <v>2002-00251</v>
          </cell>
          <cell r="B37">
            <v>37469</v>
          </cell>
          <cell r="C37">
            <v>2.3699999999999999E-2</v>
          </cell>
        </row>
        <row r="38">
          <cell r="A38" t="str">
            <v>2002-00359</v>
          </cell>
          <cell r="B38">
            <v>37561</v>
          </cell>
          <cell r="C38">
            <v>2.3699999999999999E-2</v>
          </cell>
        </row>
        <row r="39">
          <cell r="A39" t="str">
            <v>2003-00002</v>
          </cell>
          <cell r="B39">
            <v>37653</v>
          </cell>
          <cell r="C39">
            <v>7.4700000000000003E-2</v>
          </cell>
        </row>
        <row r="40">
          <cell r="A40" t="str">
            <v>2003-00083</v>
          </cell>
          <cell r="B40">
            <v>37713</v>
          </cell>
          <cell r="C40">
            <v>7.4700000000000003E-2</v>
          </cell>
        </row>
        <row r="41">
          <cell r="A41" t="str">
            <v>2003-00126</v>
          </cell>
          <cell r="B41">
            <v>37742</v>
          </cell>
          <cell r="C41">
            <v>7.4700000000000003E-2</v>
          </cell>
        </row>
        <row r="42">
          <cell r="A42" t="str">
            <v>2003-00258</v>
          </cell>
          <cell r="B42">
            <v>37834</v>
          </cell>
          <cell r="C42">
            <v>7.4700000000000003E-2</v>
          </cell>
        </row>
        <row r="43">
          <cell r="A43" t="str">
            <v>2003-00377</v>
          </cell>
          <cell r="B43">
            <v>37926</v>
          </cell>
          <cell r="C43">
            <v>7.4700000000000003E-2</v>
          </cell>
        </row>
        <row r="44">
          <cell r="A44" t="str">
            <v>2003-00504</v>
          </cell>
          <cell r="B44">
            <v>38018</v>
          </cell>
          <cell r="C44">
            <v>6.1199999999999997E-2</v>
          </cell>
        </row>
        <row r="45">
          <cell r="A45" t="str">
            <v>2004-00122</v>
          </cell>
          <cell r="B45">
            <v>38108</v>
          </cell>
          <cell r="C45">
            <v>6.1199999999999997E-2</v>
          </cell>
        </row>
        <row r="46">
          <cell r="A46" t="str">
            <v>2004-00269</v>
          </cell>
          <cell r="B46">
            <v>38200</v>
          </cell>
          <cell r="C46">
            <v>6.1199999999999997E-2</v>
          </cell>
        </row>
        <row r="47">
          <cell r="A47" t="str">
            <v>2004-00398</v>
          </cell>
          <cell r="B47">
            <v>38292</v>
          </cell>
          <cell r="C47">
            <v>6.1199999999999997E-2</v>
          </cell>
        </row>
        <row r="48">
          <cell r="A48" t="str">
            <v>2005-00013</v>
          </cell>
          <cell r="B48">
            <v>38384</v>
          </cell>
          <cell r="C48">
            <v>4.48E-2</v>
          </cell>
        </row>
        <row r="49">
          <cell r="A49" t="str">
            <v>2005-00139</v>
          </cell>
          <cell r="B49">
            <v>38473</v>
          </cell>
          <cell r="C49">
            <v>4.48E-2</v>
          </cell>
        </row>
        <row r="50">
          <cell r="A50" t="str">
            <v>2005-00399</v>
          </cell>
          <cell r="B50">
            <v>38565</v>
          </cell>
          <cell r="C50">
            <v>4.48E-2</v>
          </cell>
        </row>
        <row r="51">
          <cell r="A51" t="str">
            <v>2005-00552</v>
          </cell>
          <cell r="B51">
            <v>38749</v>
          </cell>
          <cell r="C51">
            <v>3.9899999999999998E-2</v>
          </cell>
        </row>
        <row r="52">
          <cell r="B52">
            <v>54789</v>
          </cell>
        </row>
      </sheetData>
      <sheetData sheetId="52"/>
      <sheetData sheetId="53">
        <row r="8">
          <cell r="A8" t="str">
            <v>Case</v>
          </cell>
          <cell r="B8" t="str">
            <v>Date</v>
          </cell>
          <cell r="C8" t="str">
            <v>Description</v>
          </cell>
          <cell r="D8" t="str">
            <v>Res.</v>
          </cell>
          <cell r="E8" t="str">
            <v>Non-Res.</v>
          </cell>
          <cell r="G8" t="str">
            <v>Block 1</v>
          </cell>
          <cell r="H8" t="str">
            <v>Price 1</v>
          </cell>
          <cell r="I8" t="str">
            <v>Block 2</v>
          </cell>
          <cell r="J8" t="str">
            <v>Price 2</v>
          </cell>
          <cell r="K8" t="str">
            <v>Block 3</v>
          </cell>
          <cell r="L8" t="str">
            <v>Price 3</v>
          </cell>
        </row>
        <row r="9">
          <cell r="A9" t="str">
            <v>95-010</v>
          </cell>
          <cell r="B9">
            <v>35004</v>
          </cell>
          <cell r="C9" t="str">
            <v>General Firm Sales</v>
          </cell>
          <cell r="D9">
            <v>5.0999999999999996</v>
          </cell>
          <cell r="E9">
            <v>13.6</v>
          </cell>
          <cell r="G9">
            <v>300</v>
          </cell>
          <cell r="H9">
            <v>4.4438000000000004</v>
          </cell>
          <cell r="I9">
            <v>14700</v>
          </cell>
          <cell r="J9">
            <v>3.9916</v>
          </cell>
          <cell r="K9">
            <v>15000</v>
          </cell>
          <cell r="L9">
            <v>3.8416000000000001</v>
          </cell>
          <cell r="N9">
            <v>3.4331</v>
          </cell>
        </row>
        <row r="10">
          <cell r="A10" t="str">
            <v>95-010+</v>
          </cell>
          <cell r="B10">
            <v>35125</v>
          </cell>
          <cell r="C10" t="str">
            <v>General Firm Sales</v>
          </cell>
          <cell r="D10">
            <v>5.0999999999999996</v>
          </cell>
          <cell r="E10">
            <v>13.6</v>
          </cell>
          <cell r="G10">
            <v>300</v>
          </cell>
          <cell r="H10">
            <v>4.4946000000000002</v>
          </cell>
          <cell r="I10">
            <v>14700</v>
          </cell>
          <cell r="J10">
            <v>3.9916</v>
          </cell>
          <cell r="K10">
            <v>15000</v>
          </cell>
          <cell r="L10">
            <v>3.8416000000000001</v>
          </cell>
          <cell r="N10">
            <v>3.4331</v>
          </cell>
        </row>
        <row r="11">
          <cell r="A11" t="str">
            <v>99-070</v>
          </cell>
          <cell r="B11">
            <v>36516</v>
          </cell>
          <cell r="C11" t="str">
            <v>General Firm Sales</v>
          </cell>
          <cell r="D11">
            <v>7.5</v>
          </cell>
          <cell r="E11">
            <v>20</v>
          </cell>
          <cell r="G11">
            <v>300</v>
          </cell>
          <cell r="H11">
            <v>1.19</v>
          </cell>
          <cell r="I11">
            <v>14700</v>
          </cell>
          <cell r="J11">
            <v>0.65900000000000003</v>
          </cell>
          <cell r="K11">
            <v>15000</v>
          </cell>
          <cell r="L11">
            <v>0.43</v>
          </cell>
          <cell r="N11">
            <v>0</v>
          </cell>
        </row>
        <row r="12">
          <cell r="B12">
            <v>43831</v>
          </cell>
        </row>
      </sheetData>
      <sheetData sheetId="54">
        <row r="8">
          <cell r="A8" t="str">
            <v>Case</v>
          </cell>
          <cell r="B8" t="str">
            <v>Date</v>
          </cell>
          <cell r="C8" t="str">
            <v>Description</v>
          </cell>
          <cell r="D8" t="str">
            <v>Res.</v>
          </cell>
          <cell r="E8" t="str">
            <v>Non-Res.</v>
          </cell>
          <cell r="G8" t="str">
            <v>Block 1</v>
          </cell>
          <cell r="H8" t="str">
            <v>Price 1</v>
          </cell>
          <cell r="I8" t="str">
            <v>Block 2</v>
          </cell>
          <cell r="J8" t="str">
            <v>Price 2</v>
          </cell>
          <cell r="K8" t="str">
            <v>Block 3</v>
          </cell>
          <cell r="L8" t="str">
            <v>Price 3</v>
          </cell>
        </row>
        <row r="9">
          <cell r="A9" t="str">
            <v>95-010</v>
          </cell>
          <cell r="B9">
            <v>35004</v>
          </cell>
          <cell r="C9" t="str">
            <v>General Firm Sales+HLF</v>
          </cell>
          <cell r="D9">
            <v>5.0999999999999996</v>
          </cell>
          <cell r="E9">
            <v>13.6</v>
          </cell>
          <cell r="G9">
            <v>300</v>
          </cell>
          <cell r="H9">
            <v>4.4438000000000004</v>
          </cell>
          <cell r="I9">
            <v>14700</v>
          </cell>
          <cell r="J9">
            <v>3.9916</v>
          </cell>
          <cell r="K9">
            <v>15000</v>
          </cell>
          <cell r="L9">
            <v>3.8416000000000001</v>
          </cell>
          <cell r="N9">
            <v>3.4331</v>
          </cell>
        </row>
        <row r="10">
          <cell r="A10" t="str">
            <v>95-010+</v>
          </cell>
          <cell r="B10">
            <v>35125</v>
          </cell>
          <cell r="C10" t="str">
            <v>General Firm Sales+HLF</v>
          </cell>
          <cell r="D10">
            <v>5.0999999999999996</v>
          </cell>
          <cell r="E10">
            <v>13.6</v>
          </cell>
          <cell r="G10">
            <v>300</v>
          </cell>
          <cell r="H10">
            <v>4.4946000000000002</v>
          </cell>
          <cell r="I10">
            <v>14700</v>
          </cell>
          <cell r="J10">
            <v>3.9916</v>
          </cell>
          <cell r="K10">
            <v>15000</v>
          </cell>
          <cell r="L10">
            <v>3.8416000000000001</v>
          </cell>
          <cell r="N10">
            <v>3.4331</v>
          </cell>
        </row>
        <row r="11">
          <cell r="A11" t="str">
            <v>99-070</v>
          </cell>
          <cell r="B11">
            <v>36516</v>
          </cell>
          <cell r="C11" t="str">
            <v>General Firm Sales+HLF</v>
          </cell>
          <cell r="D11">
            <v>7.5</v>
          </cell>
          <cell r="E11">
            <v>20</v>
          </cell>
          <cell r="G11">
            <v>300</v>
          </cell>
          <cell r="H11">
            <v>1.19</v>
          </cell>
          <cell r="I11">
            <v>14700</v>
          </cell>
          <cell r="J11">
            <v>0.65900000000000003</v>
          </cell>
          <cell r="K11">
            <v>15000</v>
          </cell>
          <cell r="L11">
            <v>0.43</v>
          </cell>
          <cell r="N11">
            <v>0</v>
          </cell>
        </row>
        <row r="12">
          <cell r="B12">
            <v>43831</v>
          </cell>
        </row>
      </sheetData>
      <sheetData sheetId="55">
        <row r="9">
          <cell r="B9">
            <v>35004</v>
          </cell>
          <cell r="C9" t="str">
            <v>Large Volume Sales (HP)</v>
          </cell>
          <cell r="D9">
            <v>13.6</v>
          </cell>
          <cell r="G9">
            <v>300</v>
          </cell>
          <cell r="H9">
            <v>1.0106999999999999</v>
          </cell>
          <cell r="I9">
            <v>14700</v>
          </cell>
          <cell r="J9">
            <v>0.5585</v>
          </cell>
          <cell r="K9">
            <v>15000</v>
          </cell>
          <cell r="L9">
            <v>0.40850000000000003</v>
          </cell>
        </row>
        <row r="10">
          <cell r="B10">
            <v>35125</v>
          </cell>
          <cell r="C10" t="str">
            <v>Large Volume Sales (HP)</v>
          </cell>
          <cell r="D10">
            <v>13.6</v>
          </cell>
          <cell r="G10">
            <v>300</v>
          </cell>
          <cell r="H10">
            <v>1.0615000000000001</v>
          </cell>
          <cell r="I10">
            <v>14700</v>
          </cell>
          <cell r="J10">
            <v>0.5585</v>
          </cell>
          <cell r="K10">
            <v>15000</v>
          </cell>
          <cell r="L10">
            <v>0.40850000000000003</v>
          </cell>
        </row>
        <row r="11">
          <cell r="B11">
            <v>36516</v>
          </cell>
          <cell r="C11" t="str">
            <v>Large Volume Sales (HP)</v>
          </cell>
          <cell r="D11">
            <v>20</v>
          </cell>
          <cell r="G11">
            <v>300</v>
          </cell>
          <cell r="H11">
            <v>1.19</v>
          </cell>
          <cell r="I11">
            <v>14700</v>
          </cell>
          <cell r="J11">
            <v>0.65900000000000003</v>
          </cell>
          <cell r="K11">
            <v>15000</v>
          </cell>
          <cell r="L11">
            <v>0.43</v>
          </cell>
        </row>
        <row r="12">
          <cell r="B12">
            <v>43831</v>
          </cell>
        </row>
      </sheetData>
      <sheetData sheetId="56"/>
      <sheetData sheetId="57">
        <row r="8">
          <cell r="A8" t="str">
            <v>Case</v>
          </cell>
          <cell r="B8" t="str">
            <v>Date</v>
          </cell>
          <cell r="C8" t="str">
            <v>Description</v>
          </cell>
          <cell r="D8" t="str">
            <v>Res.</v>
          </cell>
          <cell r="E8" t="str">
            <v>Non-Res.</v>
          </cell>
          <cell r="G8" t="str">
            <v>Block 1</v>
          </cell>
          <cell r="H8" t="str">
            <v>Price 1</v>
          </cell>
          <cell r="I8" t="str">
            <v>Block 2</v>
          </cell>
          <cell r="J8" t="str">
            <v>Price 2</v>
          </cell>
          <cell r="K8" t="str">
            <v>Block 3</v>
          </cell>
          <cell r="L8" t="str">
            <v>Price 3</v>
          </cell>
        </row>
        <row r="9">
          <cell r="A9" t="str">
            <v>95-010</v>
          </cell>
          <cell r="B9">
            <v>35004</v>
          </cell>
          <cell r="C9" t="str">
            <v>Interruptible Sales</v>
          </cell>
          <cell r="D9" t="str">
            <v>NA</v>
          </cell>
          <cell r="E9">
            <v>150</v>
          </cell>
          <cell r="G9">
            <v>15000</v>
          </cell>
          <cell r="H9">
            <v>3.1448999999999998</v>
          </cell>
          <cell r="K9">
            <v>15000</v>
          </cell>
          <cell r="L9">
            <v>2.9948999999999999</v>
          </cell>
          <cell r="N9">
            <v>2.6513</v>
          </cell>
        </row>
        <row r="10">
          <cell r="A10" t="str">
            <v>99-070</v>
          </cell>
          <cell r="B10">
            <v>36516</v>
          </cell>
          <cell r="C10" t="str">
            <v>Interruptible Sales</v>
          </cell>
          <cell r="D10" t="str">
            <v>NA</v>
          </cell>
          <cell r="E10">
            <v>220</v>
          </cell>
          <cell r="G10">
            <v>15000</v>
          </cell>
          <cell r="H10">
            <v>0.53</v>
          </cell>
          <cell r="K10">
            <v>15000</v>
          </cell>
          <cell r="L10">
            <v>0.35909999999999997</v>
          </cell>
          <cell r="N10">
            <v>0</v>
          </cell>
        </row>
        <row r="11">
          <cell r="B11">
            <v>43831</v>
          </cell>
        </row>
      </sheetData>
      <sheetData sheetId="58">
        <row r="9">
          <cell r="B9">
            <v>35004</v>
          </cell>
          <cell r="C9" t="str">
            <v>Large Volume Sales</v>
          </cell>
          <cell r="E9">
            <v>150</v>
          </cell>
          <cell r="G9">
            <v>15000</v>
          </cell>
          <cell r="H9">
            <v>0.49359999999999998</v>
          </cell>
          <cell r="K9">
            <v>15000</v>
          </cell>
          <cell r="L9">
            <v>0.34360000000000002</v>
          </cell>
        </row>
        <row r="10">
          <cell r="B10">
            <v>36516</v>
          </cell>
          <cell r="C10" t="str">
            <v>Large Volume Sales</v>
          </cell>
          <cell r="E10">
            <v>220</v>
          </cell>
          <cell r="G10">
            <v>15000</v>
          </cell>
          <cell r="H10">
            <v>0.53</v>
          </cell>
          <cell r="K10">
            <v>15000</v>
          </cell>
          <cell r="L10">
            <v>0.35909999999999997</v>
          </cell>
        </row>
        <row r="11">
          <cell r="B11">
            <v>43831</v>
          </cell>
        </row>
      </sheetData>
      <sheetData sheetId="59">
        <row r="8">
          <cell r="A8" t="str">
            <v>Case</v>
          </cell>
          <cell r="B8" t="str">
            <v>Date</v>
          </cell>
          <cell r="C8" t="str">
            <v>Description</v>
          </cell>
          <cell r="D8" t="str">
            <v>Base</v>
          </cell>
          <cell r="E8" t="str">
            <v>Adm. Fee</v>
          </cell>
          <cell r="G8" t="str">
            <v>Block 1</v>
          </cell>
          <cell r="H8" t="str">
            <v>Price 1</v>
          </cell>
          <cell r="I8" t="str">
            <v>Block 2</v>
          </cell>
          <cell r="J8" t="str">
            <v>Price 2</v>
          </cell>
          <cell r="K8" t="str">
            <v>Block 3</v>
          </cell>
          <cell r="L8" t="str">
            <v>Price 3</v>
          </cell>
        </row>
        <row r="9">
          <cell r="A9" t="str">
            <v>95-010</v>
          </cell>
          <cell r="B9">
            <v>35004</v>
          </cell>
          <cell r="C9" t="str">
            <v>Firm Transportation</v>
          </cell>
          <cell r="D9">
            <v>13.6</v>
          </cell>
          <cell r="E9">
            <v>45</v>
          </cell>
          <cell r="G9">
            <v>300</v>
          </cell>
          <cell r="H9">
            <v>1.0106999999999999</v>
          </cell>
          <cell r="I9">
            <v>14700</v>
          </cell>
          <cell r="J9">
            <v>0.5585</v>
          </cell>
          <cell r="K9">
            <v>15000</v>
          </cell>
          <cell r="L9">
            <v>0.40850000000000003</v>
          </cell>
        </row>
        <row r="10">
          <cell r="A10" t="str">
            <v>95-010+</v>
          </cell>
          <cell r="B10">
            <v>35125</v>
          </cell>
          <cell r="C10" t="str">
            <v>Firm Transportation</v>
          </cell>
          <cell r="D10">
            <v>13.6</v>
          </cell>
          <cell r="E10">
            <v>45</v>
          </cell>
          <cell r="G10">
            <v>300</v>
          </cell>
          <cell r="H10">
            <v>1.0615000000000001</v>
          </cell>
          <cell r="I10">
            <v>14700</v>
          </cell>
          <cell r="J10">
            <v>0.5585</v>
          </cell>
          <cell r="K10">
            <v>15000</v>
          </cell>
          <cell r="L10">
            <v>0.40850000000000003</v>
          </cell>
        </row>
        <row r="11">
          <cell r="A11" t="str">
            <v>99-070</v>
          </cell>
          <cell r="B11">
            <v>36516</v>
          </cell>
          <cell r="C11" t="str">
            <v>Firm Transportation</v>
          </cell>
          <cell r="D11">
            <v>20</v>
          </cell>
          <cell r="E11">
            <v>50</v>
          </cell>
          <cell r="G11">
            <v>300</v>
          </cell>
          <cell r="H11">
            <v>1.19</v>
          </cell>
          <cell r="I11">
            <v>14700</v>
          </cell>
          <cell r="J11">
            <v>0.65900000000000003</v>
          </cell>
          <cell r="K11">
            <v>15000</v>
          </cell>
          <cell r="L11">
            <v>0.43</v>
          </cell>
        </row>
        <row r="12">
          <cell r="B12">
            <v>43831</v>
          </cell>
        </row>
      </sheetData>
      <sheetData sheetId="60">
        <row r="8">
          <cell r="A8" t="str">
            <v>Case</v>
          </cell>
          <cell r="B8" t="str">
            <v>Date</v>
          </cell>
          <cell r="C8" t="str">
            <v>Description</v>
          </cell>
          <cell r="D8" t="str">
            <v>Base</v>
          </cell>
          <cell r="E8" t="str">
            <v>Adm. Fee</v>
          </cell>
          <cell r="G8" t="str">
            <v>Block 1</v>
          </cell>
          <cell r="H8" t="str">
            <v>Price 1</v>
          </cell>
          <cell r="I8" t="str">
            <v>Block 2</v>
          </cell>
          <cell r="J8" t="str">
            <v>Price 2</v>
          </cell>
          <cell r="K8" t="str">
            <v>Block 3</v>
          </cell>
          <cell r="L8" t="str">
            <v>Price 3</v>
          </cell>
        </row>
        <row r="9">
          <cell r="A9" t="str">
            <v>95-010</v>
          </cell>
          <cell r="B9">
            <v>35004</v>
          </cell>
          <cell r="C9" t="str">
            <v>Firm Transportation+HLF</v>
          </cell>
          <cell r="D9">
            <v>13.6</v>
          </cell>
          <cell r="E9">
            <v>45</v>
          </cell>
          <cell r="G9">
            <v>300</v>
          </cell>
          <cell r="H9">
            <v>1.0106999999999999</v>
          </cell>
          <cell r="I9">
            <v>14700</v>
          </cell>
          <cell r="J9">
            <v>0.5585</v>
          </cell>
          <cell r="K9">
            <v>15000</v>
          </cell>
          <cell r="L9">
            <v>0.40850000000000003</v>
          </cell>
        </row>
        <row r="10">
          <cell r="A10" t="str">
            <v>95-010+</v>
          </cell>
          <cell r="B10">
            <v>35125</v>
          </cell>
          <cell r="C10" t="str">
            <v>Firm Transportation+HLF</v>
          </cell>
          <cell r="D10">
            <v>13.6</v>
          </cell>
          <cell r="E10">
            <v>45</v>
          </cell>
          <cell r="G10">
            <v>300</v>
          </cell>
          <cell r="H10">
            <v>1.0615000000000001</v>
          </cell>
          <cell r="I10">
            <v>14700</v>
          </cell>
          <cell r="J10">
            <v>0.5585</v>
          </cell>
          <cell r="K10">
            <v>15000</v>
          </cell>
          <cell r="L10">
            <v>0.40850000000000003</v>
          </cell>
        </row>
        <row r="11">
          <cell r="A11" t="str">
            <v>99-070</v>
          </cell>
          <cell r="B11">
            <v>36516</v>
          </cell>
          <cell r="C11" t="str">
            <v>Firm Transportation+HLF</v>
          </cell>
          <cell r="D11">
            <v>20</v>
          </cell>
          <cell r="E11">
            <v>50</v>
          </cell>
          <cell r="G11">
            <v>300</v>
          </cell>
          <cell r="H11">
            <v>1.19</v>
          </cell>
          <cell r="I11">
            <v>14700</v>
          </cell>
          <cell r="J11">
            <v>0.65900000000000003</v>
          </cell>
          <cell r="K11">
            <v>15000</v>
          </cell>
          <cell r="L11">
            <v>0.43</v>
          </cell>
        </row>
        <row r="12">
          <cell r="B12">
            <v>43831</v>
          </cell>
        </row>
      </sheetData>
      <sheetData sheetId="61">
        <row r="8">
          <cell r="A8" t="str">
            <v>Case</v>
          </cell>
          <cell r="B8" t="str">
            <v>Date</v>
          </cell>
          <cell r="C8" t="str">
            <v>Description</v>
          </cell>
          <cell r="D8" t="str">
            <v>Base</v>
          </cell>
          <cell r="E8" t="str">
            <v>Admin.</v>
          </cell>
          <cell r="G8" t="str">
            <v>Block 1</v>
          </cell>
          <cell r="H8" t="str">
            <v>Price 1</v>
          </cell>
          <cell r="I8" t="str">
            <v>Block 2</v>
          </cell>
          <cell r="J8" t="str">
            <v>Price 2</v>
          </cell>
          <cell r="K8" t="str">
            <v>Block 3</v>
          </cell>
          <cell r="L8" t="str">
            <v>Price 3</v>
          </cell>
        </row>
        <row r="9">
          <cell r="A9" t="str">
            <v>95-010</v>
          </cell>
          <cell r="B9">
            <v>35004</v>
          </cell>
          <cell r="C9" t="str">
            <v>Firm Carriage Service</v>
          </cell>
          <cell r="D9">
            <v>150</v>
          </cell>
          <cell r="E9">
            <v>45</v>
          </cell>
          <cell r="G9">
            <v>300</v>
          </cell>
          <cell r="H9">
            <v>1.0106999999999999</v>
          </cell>
          <cell r="I9">
            <v>14700</v>
          </cell>
          <cell r="J9">
            <v>0.5585</v>
          </cell>
          <cell r="K9">
            <v>15000</v>
          </cell>
          <cell r="L9">
            <v>0.40850000000000003</v>
          </cell>
        </row>
        <row r="10">
          <cell r="A10" t="str">
            <v>95-010+</v>
          </cell>
          <cell r="B10">
            <v>35125</v>
          </cell>
          <cell r="C10" t="str">
            <v>Firm Carriage Service</v>
          </cell>
          <cell r="D10">
            <v>150</v>
          </cell>
          <cell r="E10">
            <v>45</v>
          </cell>
          <cell r="G10">
            <v>300</v>
          </cell>
          <cell r="H10">
            <v>1.0615000000000001</v>
          </cell>
          <cell r="I10">
            <v>14700</v>
          </cell>
          <cell r="J10">
            <v>0.5585</v>
          </cell>
          <cell r="K10">
            <v>15000</v>
          </cell>
          <cell r="L10">
            <v>0.40850000000000003</v>
          </cell>
        </row>
        <row r="11">
          <cell r="A11" t="str">
            <v>99-070</v>
          </cell>
          <cell r="B11">
            <v>36516</v>
          </cell>
          <cell r="C11" t="str">
            <v>Firm Carriage Service</v>
          </cell>
          <cell r="D11">
            <v>220</v>
          </cell>
          <cell r="E11">
            <v>50</v>
          </cell>
          <cell r="G11">
            <v>300</v>
          </cell>
          <cell r="H11">
            <v>1.19</v>
          </cell>
          <cell r="I11">
            <v>14700</v>
          </cell>
          <cell r="J11">
            <v>0.65900000000000003</v>
          </cell>
          <cell r="K11">
            <v>15000</v>
          </cell>
          <cell r="L11">
            <v>0.43</v>
          </cell>
        </row>
        <row r="12">
          <cell r="B12">
            <v>43831</v>
          </cell>
        </row>
      </sheetData>
      <sheetData sheetId="62">
        <row r="8">
          <cell r="A8" t="str">
            <v>Case</v>
          </cell>
          <cell r="B8" t="str">
            <v>Date</v>
          </cell>
          <cell r="C8" t="str">
            <v>Description</v>
          </cell>
          <cell r="D8" t="str">
            <v>Base</v>
          </cell>
          <cell r="E8" t="str">
            <v>Admin.</v>
          </cell>
          <cell r="G8" t="str">
            <v>Block 1</v>
          </cell>
          <cell r="H8" t="str">
            <v>Price 1</v>
          </cell>
          <cell r="I8" t="str">
            <v>Block 2</v>
          </cell>
          <cell r="J8" t="str">
            <v>Price 2</v>
          </cell>
          <cell r="K8" t="str">
            <v>Block 3</v>
          </cell>
          <cell r="L8" t="str">
            <v>Price 3</v>
          </cell>
        </row>
        <row r="9">
          <cell r="A9" t="str">
            <v>95-010</v>
          </cell>
          <cell r="B9">
            <v>35004</v>
          </cell>
          <cell r="C9" t="str">
            <v>General Firm Sales</v>
          </cell>
          <cell r="D9">
            <v>150</v>
          </cell>
          <cell r="E9">
            <v>45</v>
          </cell>
          <cell r="G9">
            <v>15000</v>
          </cell>
          <cell r="H9">
            <v>0.49359999999999998</v>
          </cell>
          <cell r="K9">
            <v>15000</v>
          </cell>
          <cell r="L9">
            <v>0.34360000000000002</v>
          </cell>
        </row>
        <row r="10">
          <cell r="A10" t="str">
            <v>99-070</v>
          </cell>
          <cell r="B10">
            <v>36516</v>
          </cell>
          <cell r="C10" t="str">
            <v>General Firm Sales</v>
          </cell>
          <cell r="D10">
            <v>220</v>
          </cell>
          <cell r="E10">
            <v>50</v>
          </cell>
          <cell r="G10">
            <v>15000</v>
          </cell>
          <cell r="H10">
            <v>0.53</v>
          </cell>
          <cell r="K10">
            <v>15000</v>
          </cell>
          <cell r="L10">
            <v>0.35909999999999997</v>
          </cell>
        </row>
        <row r="11">
          <cell r="B11">
            <v>43831</v>
          </cell>
        </row>
      </sheetData>
      <sheetData sheetId="63">
        <row r="8">
          <cell r="A8" t="str">
            <v>Case</v>
          </cell>
          <cell r="B8" t="str">
            <v>Date</v>
          </cell>
          <cell r="C8" t="str">
            <v>Description</v>
          </cell>
          <cell r="D8" t="str">
            <v>Base</v>
          </cell>
          <cell r="E8" t="str">
            <v>Admin.</v>
          </cell>
          <cell r="G8" t="str">
            <v>Block 1</v>
          </cell>
          <cell r="H8" t="str">
            <v>Price 1</v>
          </cell>
          <cell r="I8" t="str">
            <v>Block 2</v>
          </cell>
          <cell r="J8" t="str">
            <v>Price 2</v>
          </cell>
          <cell r="K8" t="str">
            <v>Block 3</v>
          </cell>
          <cell r="L8" t="str">
            <v>Price 3</v>
          </cell>
        </row>
        <row r="9">
          <cell r="A9" t="str">
            <v>95-010</v>
          </cell>
          <cell r="B9">
            <v>35004</v>
          </cell>
          <cell r="C9" t="str">
            <v>General Firm Sales</v>
          </cell>
          <cell r="D9">
            <v>150</v>
          </cell>
          <cell r="E9">
            <v>45</v>
          </cell>
          <cell r="G9">
            <v>15000</v>
          </cell>
          <cell r="H9">
            <v>0.49359999999999998</v>
          </cell>
          <cell r="K9">
            <v>15000</v>
          </cell>
          <cell r="L9">
            <v>0.34360000000000002</v>
          </cell>
        </row>
        <row r="10">
          <cell r="A10" t="str">
            <v>99-070</v>
          </cell>
          <cell r="B10">
            <v>36516</v>
          </cell>
          <cell r="C10" t="str">
            <v>General Firm Sales</v>
          </cell>
          <cell r="D10">
            <v>220</v>
          </cell>
          <cell r="E10">
            <v>50</v>
          </cell>
          <cell r="G10">
            <v>15000</v>
          </cell>
          <cell r="H10">
            <v>0.53</v>
          </cell>
          <cell r="K10">
            <v>15000</v>
          </cell>
          <cell r="L10">
            <v>0.35909999999999997</v>
          </cell>
        </row>
        <row r="11">
          <cell r="A11" t="str">
            <v>99-070+</v>
          </cell>
          <cell r="B11">
            <v>36516</v>
          </cell>
          <cell r="C11" t="str">
            <v>General Firm Sales</v>
          </cell>
          <cell r="D11">
            <v>220</v>
          </cell>
          <cell r="E11">
            <v>50</v>
          </cell>
          <cell r="G11">
            <v>15000</v>
          </cell>
          <cell r="H11">
            <v>0.53</v>
          </cell>
          <cell r="K11">
            <v>15000</v>
          </cell>
          <cell r="L11">
            <v>0.35909999999999997</v>
          </cell>
        </row>
        <row r="12">
          <cell r="B12">
            <v>43831</v>
          </cell>
        </row>
      </sheetData>
      <sheetData sheetId="64"/>
      <sheetData sheetId="65">
        <row r="8">
          <cell r="A8" t="str">
            <v>Effective</v>
          </cell>
          <cell r="B8" t="str">
            <v>Base</v>
          </cell>
          <cell r="C8" t="str">
            <v>Surcharge</v>
          </cell>
          <cell r="D8" t="str">
            <v>TCA Adj</v>
          </cell>
          <cell r="E8" t="str">
            <v>TCA Surc</v>
          </cell>
          <cell r="F8" t="str">
            <v>ISS CR Adj</v>
          </cell>
          <cell r="G8" t="str">
            <v>Rev Cr Adj</v>
          </cell>
          <cell r="H8" t="str">
            <v>GRI</v>
          </cell>
          <cell r="I8" t="str">
            <v>Total</v>
          </cell>
          <cell r="K8" t="str">
            <v>Base</v>
          </cell>
          <cell r="L8" t="str">
            <v>Surcharge</v>
          </cell>
          <cell r="M8" t="str">
            <v>TCA Adj</v>
          </cell>
          <cell r="N8" t="str">
            <v>TCA Surc</v>
          </cell>
          <cell r="O8" t="str">
            <v>ISS CR Adj</v>
          </cell>
          <cell r="P8" t="str">
            <v>Rev Cr Adj</v>
          </cell>
          <cell r="Q8" t="str">
            <v>GRI</v>
          </cell>
          <cell r="R8" t="str">
            <v>Total</v>
          </cell>
          <cell r="T8" t="str">
            <v>Base</v>
          </cell>
          <cell r="U8" t="str">
            <v>Surcharge</v>
          </cell>
          <cell r="V8" t="str">
            <v>TCA Adj</v>
          </cell>
          <cell r="W8" t="str">
            <v>TCA Surc</v>
          </cell>
          <cell r="X8" t="str">
            <v>ISS CR Adj</v>
          </cell>
          <cell r="Y8" t="str">
            <v>Rev Cr Adj</v>
          </cell>
          <cell r="Z8" t="str">
            <v>GRI</v>
          </cell>
          <cell r="AA8" t="str">
            <v>Total</v>
          </cell>
        </row>
        <row r="9">
          <cell r="A9">
            <v>34973</v>
          </cell>
          <cell r="B9">
            <v>0.42220000000000002</v>
          </cell>
          <cell r="C9">
            <v>2.46E-2</v>
          </cell>
          <cell r="H9">
            <v>7.2000000000000007E-3</v>
          </cell>
          <cell r="I9">
            <v>0.45400000000000001</v>
          </cell>
          <cell r="K9">
            <v>0.44259999999999999</v>
          </cell>
          <cell r="L9">
            <v>2.46E-2</v>
          </cell>
          <cell r="Q9">
            <v>7.2000000000000007E-3</v>
          </cell>
          <cell r="R9">
            <v>0.47439999999999999</v>
          </cell>
          <cell r="T9">
            <v>0.49609999999999999</v>
          </cell>
          <cell r="U9">
            <v>2.46E-2</v>
          </cell>
          <cell r="Z9">
            <v>7.2000000000000007E-3</v>
          </cell>
          <cell r="AA9">
            <v>0.52789999999999992</v>
          </cell>
        </row>
        <row r="10">
          <cell r="A10">
            <v>35065</v>
          </cell>
          <cell r="B10">
            <v>0.42220000000000002</v>
          </cell>
          <cell r="C10">
            <v>1.7500000000000002E-2</v>
          </cell>
          <cell r="H10">
            <v>8.5000000000000006E-3</v>
          </cell>
          <cell r="I10">
            <v>0.44820000000000004</v>
          </cell>
          <cell r="K10">
            <v>0.44259999999999999</v>
          </cell>
          <cell r="L10">
            <v>1.7500000000000002E-2</v>
          </cell>
          <cell r="Q10">
            <v>8.5000000000000006E-3</v>
          </cell>
          <cell r="R10">
            <v>0.46860000000000002</v>
          </cell>
          <cell r="T10">
            <v>0.49609999999999999</v>
          </cell>
          <cell r="U10">
            <v>1.7500000000000002E-2</v>
          </cell>
          <cell r="Z10">
            <v>8.5000000000000006E-3</v>
          </cell>
          <cell r="AA10">
            <v>0.5220999999999999</v>
          </cell>
        </row>
        <row r="11">
          <cell r="A11">
            <v>35096</v>
          </cell>
          <cell r="B11">
            <v>0.35980000000000001</v>
          </cell>
          <cell r="C11">
            <v>1.7500000000000002E-2</v>
          </cell>
          <cell r="H11">
            <v>8.5000000000000006E-3</v>
          </cell>
          <cell r="I11">
            <v>0.38580000000000003</v>
          </cell>
          <cell r="K11">
            <v>0.3795</v>
          </cell>
          <cell r="L11">
            <v>1.7500000000000002E-2</v>
          </cell>
          <cell r="Q11">
            <v>8.5000000000000006E-3</v>
          </cell>
          <cell r="R11">
            <v>0.40550000000000003</v>
          </cell>
          <cell r="T11">
            <v>0.43209999999999998</v>
          </cell>
          <cell r="U11">
            <v>1.7500000000000002E-2</v>
          </cell>
          <cell r="Z11">
            <v>8.5000000000000006E-3</v>
          </cell>
          <cell r="AA11">
            <v>0.45810000000000001</v>
          </cell>
        </row>
        <row r="12">
          <cell r="A12">
            <v>35125</v>
          </cell>
          <cell r="B12">
            <v>0.34699999999999998</v>
          </cell>
          <cell r="C12">
            <v>1.7500000000000002E-2</v>
          </cell>
          <cell r="H12">
            <v>8.5000000000000006E-3</v>
          </cell>
          <cell r="I12">
            <v>0.373</v>
          </cell>
          <cell r="K12">
            <v>0.36670000000000003</v>
          </cell>
          <cell r="L12">
            <v>1.7500000000000002E-2</v>
          </cell>
          <cell r="Q12">
            <v>8.5000000000000006E-3</v>
          </cell>
          <cell r="R12">
            <v>0.39270000000000005</v>
          </cell>
          <cell r="T12">
            <v>0.41930000000000001</v>
          </cell>
          <cell r="U12">
            <v>1.7500000000000002E-2</v>
          </cell>
          <cell r="Z12">
            <v>8.5000000000000006E-3</v>
          </cell>
          <cell r="AA12">
            <v>0.44530000000000003</v>
          </cell>
        </row>
        <row r="13">
          <cell r="A13">
            <v>35247</v>
          </cell>
          <cell r="B13">
            <v>0.3599</v>
          </cell>
          <cell r="C13">
            <v>1.7500000000000002E-2</v>
          </cell>
          <cell r="D13">
            <v>-1.4999999999999999E-2</v>
          </cell>
          <cell r="E13">
            <v>2.2000000000000001E-3</v>
          </cell>
          <cell r="F13">
            <v>-1E-4</v>
          </cell>
          <cell r="G13">
            <v>-1.1999999999999999E-3</v>
          </cell>
          <cell r="H13">
            <v>8.5000000000000006E-3</v>
          </cell>
          <cell r="I13">
            <v>0.37180000000000002</v>
          </cell>
          <cell r="K13">
            <v>0.37959999999999999</v>
          </cell>
          <cell r="L13">
            <v>1.7500000000000002E-2</v>
          </cell>
          <cell r="M13">
            <v>-1.4999999999999999E-2</v>
          </cell>
          <cell r="N13">
            <v>2.2000000000000001E-3</v>
          </cell>
          <cell r="O13">
            <v>-1E-4</v>
          </cell>
          <cell r="P13">
            <v>-1.1999999999999999E-3</v>
          </cell>
          <cell r="Q13">
            <v>8.5000000000000006E-3</v>
          </cell>
          <cell r="R13">
            <v>0.39150000000000001</v>
          </cell>
          <cell r="T13">
            <v>0.43219999999999997</v>
          </cell>
          <cell r="U13">
            <v>1.7500000000000002E-2</v>
          </cell>
          <cell r="V13">
            <v>-1.4999999999999999E-2</v>
          </cell>
          <cell r="W13">
            <v>2.2000000000000001E-3</v>
          </cell>
          <cell r="X13">
            <v>-1E-4</v>
          </cell>
          <cell r="Y13">
            <v>-1.1999999999999999E-3</v>
          </cell>
          <cell r="Z13">
            <v>8.5000000000000006E-3</v>
          </cell>
          <cell r="AA13">
            <v>0.44409999999999999</v>
          </cell>
        </row>
        <row r="14">
          <cell r="A14">
            <v>35309</v>
          </cell>
          <cell r="B14">
            <v>0.3599</v>
          </cell>
          <cell r="C14">
            <v>1.7500000000000002E-2</v>
          </cell>
          <cell r="D14">
            <v>-1.8100000000000002E-2</v>
          </cell>
          <cell r="E14">
            <v>-9.4000000000000004E-3</v>
          </cell>
          <cell r="F14">
            <v>-1E-4</v>
          </cell>
          <cell r="G14">
            <v>-1.1999999999999999E-3</v>
          </cell>
          <cell r="H14">
            <v>8.5000000000000006E-3</v>
          </cell>
          <cell r="I14">
            <v>0.35710000000000003</v>
          </cell>
          <cell r="K14">
            <v>0.37959999999999999</v>
          </cell>
          <cell r="L14">
            <v>1.7500000000000002E-2</v>
          </cell>
          <cell r="M14">
            <v>-1.8100000000000002E-2</v>
          </cell>
          <cell r="N14">
            <v>-9.4000000000000004E-3</v>
          </cell>
          <cell r="O14">
            <v>-1E-4</v>
          </cell>
          <cell r="P14">
            <v>-1.1999999999999999E-3</v>
          </cell>
          <cell r="Q14">
            <v>8.5000000000000006E-3</v>
          </cell>
          <cell r="R14">
            <v>0.37680000000000002</v>
          </cell>
          <cell r="T14">
            <v>0.43219999999999997</v>
          </cell>
          <cell r="U14">
            <v>1.7500000000000002E-2</v>
          </cell>
          <cell r="V14">
            <v>-1.8100000000000002E-2</v>
          </cell>
          <cell r="W14">
            <v>-9.4000000000000004E-3</v>
          </cell>
          <cell r="X14">
            <v>-1E-4</v>
          </cell>
          <cell r="Y14">
            <v>-1.1999999999999999E-3</v>
          </cell>
          <cell r="Z14">
            <v>8.5000000000000006E-3</v>
          </cell>
          <cell r="AA14">
            <v>0.4294</v>
          </cell>
        </row>
        <row r="15">
          <cell r="A15">
            <v>35339</v>
          </cell>
          <cell r="B15">
            <v>0.3599</v>
          </cell>
          <cell r="C15">
            <v>1.7500000000000002E-2</v>
          </cell>
          <cell r="D15">
            <v>-1.8100000000000002E-2</v>
          </cell>
          <cell r="E15">
            <v>-9.4000000000000004E-3</v>
          </cell>
          <cell r="F15">
            <v>-1E-4</v>
          </cell>
          <cell r="G15">
            <v>-1.1999999999999999E-3</v>
          </cell>
          <cell r="H15">
            <v>8.5000000000000006E-3</v>
          </cell>
          <cell r="I15">
            <v>0.35710000000000003</v>
          </cell>
          <cell r="K15">
            <v>0.37959999999999999</v>
          </cell>
          <cell r="L15">
            <v>1.7500000000000002E-2</v>
          </cell>
          <cell r="M15">
            <v>-1.8100000000000002E-2</v>
          </cell>
          <cell r="N15">
            <v>-9.4000000000000004E-3</v>
          </cell>
          <cell r="O15">
            <v>-1E-4</v>
          </cell>
          <cell r="P15">
            <v>-1.1999999999999999E-3</v>
          </cell>
          <cell r="Q15">
            <v>8.5000000000000006E-3</v>
          </cell>
          <cell r="R15">
            <v>0.37680000000000002</v>
          </cell>
          <cell r="T15">
            <v>0.43219999999999997</v>
          </cell>
          <cell r="U15">
            <v>1.7500000000000002E-2</v>
          </cell>
          <cell r="V15">
            <v>-1.8100000000000002E-2</v>
          </cell>
          <cell r="W15">
            <v>-9.4000000000000004E-3</v>
          </cell>
          <cell r="X15">
            <v>-1E-4</v>
          </cell>
          <cell r="Y15">
            <v>-1.1999999999999999E-3</v>
          </cell>
          <cell r="Z15">
            <v>8.5000000000000006E-3</v>
          </cell>
          <cell r="AA15">
            <v>0.4294</v>
          </cell>
        </row>
        <row r="16">
          <cell r="A16">
            <v>35462</v>
          </cell>
          <cell r="B16">
            <v>0.3599</v>
          </cell>
          <cell r="C16">
            <v>1.7500000000000002E-2</v>
          </cell>
          <cell r="D16">
            <v>-1.8100000000000002E-2</v>
          </cell>
          <cell r="E16">
            <v>-9.4000000000000004E-3</v>
          </cell>
          <cell r="G16">
            <v>-1.1999999999999999E-3</v>
          </cell>
          <cell r="H16">
            <v>8.5000000000000006E-3</v>
          </cell>
          <cell r="I16">
            <v>0.35720000000000002</v>
          </cell>
          <cell r="K16">
            <v>0.37959999999999999</v>
          </cell>
          <cell r="L16">
            <v>1.7500000000000002E-2</v>
          </cell>
          <cell r="M16">
            <v>-1.8100000000000002E-2</v>
          </cell>
          <cell r="N16">
            <v>-9.4000000000000004E-3</v>
          </cell>
          <cell r="P16">
            <v>-1.1999999999999999E-3</v>
          </cell>
          <cell r="Q16">
            <v>8.5000000000000006E-3</v>
          </cell>
          <cell r="R16">
            <v>0.37690000000000001</v>
          </cell>
          <cell r="T16">
            <v>0.43219999999999997</v>
          </cell>
          <cell r="U16">
            <v>1.7500000000000002E-2</v>
          </cell>
          <cell r="V16">
            <v>-1.8100000000000002E-2</v>
          </cell>
          <cell r="W16">
            <v>-9.4000000000000004E-3</v>
          </cell>
          <cell r="Y16">
            <v>-1.1999999999999999E-3</v>
          </cell>
          <cell r="Z16">
            <v>8.5000000000000006E-3</v>
          </cell>
          <cell r="AA16">
            <v>0.42949999999999999</v>
          </cell>
        </row>
        <row r="17">
          <cell r="A17">
            <v>35490</v>
          </cell>
          <cell r="B17">
            <v>0.3599</v>
          </cell>
          <cell r="C17">
            <v>1.7500000000000002E-2</v>
          </cell>
          <cell r="D17">
            <v>-1.7999999999999999E-2</v>
          </cell>
          <cell r="E17">
            <v>3.8E-3</v>
          </cell>
          <cell r="G17">
            <v>-1.1999999999999999E-3</v>
          </cell>
          <cell r="H17">
            <v>8.5000000000000006E-3</v>
          </cell>
          <cell r="I17">
            <v>0.37050000000000005</v>
          </cell>
          <cell r="K17">
            <v>0.37959999999999999</v>
          </cell>
          <cell r="L17">
            <v>1.7500000000000002E-2</v>
          </cell>
          <cell r="M17">
            <v>-1.7999999999999999E-2</v>
          </cell>
          <cell r="N17">
            <v>3.8E-3</v>
          </cell>
          <cell r="P17">
            <v>-1.1999999999999999E-3</v>
          </cell>
          <cell r="Q17">
            <v>8.5000000000000006E-3</v>
          </cell>
          <cell r="R17">
            <v>0.39020000000000005</v>
          </cell>
          <cell r="T17">
            <v>0.43219999999999997</v>
          </cell>
          <cell r="U17">
            <v>1.7500000000000002E-2</v>
          </cell>
          <cell r="V17">
            <v>-1.7999999999999999E-2</v>
          </cell>
          <cell r="W17">
            <v>3.8E-3</v>
          </cell>
          <cell r="Y17">
            <v>-1.1999999999999999E-3</v>
          </cell>
          <cell r="Z17">
            <v>8.5000000000000006E-3</v>
          </cell>
          <cell r="AA17">
            <v>0.44280000000000003</v>
          </cell>
        </row>
        <row r="18">
          <cell r="A18">
            <v>35612</v>
          </cell>
          <cell r="B18">
            <v>0.3599</v>
          </cell>
          <cell r="C18">
            <v>1.7500000000000002E-2</v>
          </cell>
          <cell r="D18">
            <v>-1.7999999999999999E-2</v>
          </cell>
          <cell r="E18">
            <v>3.8E-3</v>
          </cell>
          <cell r="G18">
            <v>-1.1999999999999999E-3</v>
          </cell>
          <cell r="H18">
            <v>8.5000000000000006E-3</v>
          </cell>
          <cell r="I18">
            <v>0.37050000000000005</v>
          </cell>
          <cell r="K18">
            <v>0.37959999999999999</v>
          </cell>
          <cell r="L18">
            <v>1.7500000000000002E-2</v>
          </cell>
          <cell r="M18">
            <v>-1.7999999999999999E-2</v>
          </cell>
          <cell r="N18">
            <v>3.8E-3</v>
          </cell>
          <cell r="P18">
            <v>-1.1999999999999999E-3</v>
          </cell>
          <cell r="Q18">
            <v>8.5000000000000006E-3</v>
          </cell>
          <cell r="R18">
            <v>0.39020000000000005</v>
          </cell>
          <cell r="T18">
            <v>0.43219999999999997</v>
          </cell>
          <cell r="U18">
            <v>1.7500000000000002E-2</v>
          </cell>
          <cell r="V18">
            <v>-1.7999999999999999E-2</v>
          </cell>
          <cell r="W18">
            <v>3.8E-3</v>
          </cell>
          <cell r="Y18">
            <v>-1.1999999999999999E-3</v>
          </cell>
          <cell r="Z18">
            <v>8.5000000000000006E-3</v>
          </cell>
          <cell r="AA18">
            <v>0.44280000000000003</v>
          </cell>
        </row>
        <row r="19">
          <cell r="A19">
            <v>35735</v>
          </cell>
          <cell r="B19">
            <v>0.40960000000000002</v>
          </cell>
          <cell r="C19">
            <v>1.7500000000000002E-2</v>
          </cell>
          <cell r="G19">
            <v>-1.1999999999999999E-3</v>
          </cell>
          <cell r="H19">
            <v>8.5000000000000006E-3</v>
          </cell>
          <cell r="I19">
            <v>0.43440000000000006</v>
          </cell>
          <cell r="K19">
            <v>0.45710000000000001</v>
          </cell>
          <cell r="L19">
            <v>1.7500000000000002E-2</v>
          </cell>
          <cell r="P19">
            <v>-1.1999999999999999E-3</v>
          </cell>
          <cell r="Q19">
            <v>8.5000000000000006E-3</v>
          </cell>
          <cell r="R19">
            <v>0.48190000000000005</v>
          </cell>
          <cell r="T19">
            <v>0.54810000000000003</v>
          </cell>
          <cell r="U19">
            <v>1.7500000000000002E-2</v>
          </cell>
          <cell r="Y19">
            <v>-1.1999999999999999E-3</v>
          </cell>
          <cell r="Z19">
            <v>8.5000000000000006E-3</v>
          </cell>
          <cell r="AA19">
            <v>0.57289999999999996</v>
          </cell>
        </row>
        <row r="20">
          <cell r="A20">
            <v>35796</v>
          </cell>
          <cell r="B20">
            <v>0.34499999999999997</v>
          </cell>
          <cell r="C20">
            <v>0</v>
          </cell>
          <cell r="G20">
            <v>-1.1999999999999999E-3</v>
          </cell>
          <cell r="H20">
            <v>8.5000000000000006E-3</v>
          </cell>
          <cell r="I20">
            <v>0.3523</v>
          </cell>
          <cell r="K20">
            <v>0.39</v>
          </cell>
          <cell r="L20">
            <v>0</v>
          </cell>
          <cell r="P20">
            <v>-1.1999999999999999E-3</v>
          </cell>
          <cell r="Q20">
            <v>8.5000000000000006E-3</v>
          </cell>
          <cell r="R20">
            <v>0.39730000000000004</v>
          </cell>
          <cell r="T20">
            <v>0.45</v>
          </cell>
          <cell r="U20">
            <v>0</v>
          </cell>
          <cell r="Y20">
            <v>-1.1999999999999999E-3</v>
          </cell>
          <cell r="Z20">
            <v>8.5000000000000006E-3</v>
          </cell>
          <cell r="AA20">
            <v>0.45730000000000004</v>
          </cell>
        </row>
        <row r="21">
          <cell r="A21">
            <v>35827</v>
          </cell>
          <cell r="B21">
            <v>0.34499999999999997</v>
          </cell>
          <cell r="C21">
            <v>0</v>
          </cell>
          <cell r="G21">
            <v>-1.2999999999999999E-3</v>
          </cell>
          <cell r="H21">
            <v>8.5000000000000006E-3</v>
          </cell>
          <cell r="I21">
            <v>0.35219999999999996</v>
          </cell>
          <cell r="K21">
            <v>0.39</v>
          </cell>
          <cell r="L21">
            <v>0</v>
          </cell>
          <cell r="P21">
            <v>-1.2999999999999999E-3</v>
          </cell>
          <cell r="Q21">
            <v>8.5000000000000006E-3</v>
          </cell>
          <cell r="R21">
            <v>0.3972</v>
          </cell>
          <cell r="T21">
            <v>0.45</v>
          </cell>
          <cell r="U21">
            <v>0</v>
          </cell>
          <cell r="Y21">
            <v>-1.2999999999999999E-3</v>
          </cell>
          <cell r="Z21">
            <v>8.5000000000000006E-3</v>
          </cell>
          <cell r="AA21">
            <v>0.4572</v>
          </cell>
        </row>
        <row r="22">
          <cell r="A22">
            <v>35947</v>
          </cell>
          <cell r="B22">
            <v>0.32090000000000002</v>
          </cell>
          <cell r="C22">
            <v>0</v>
          </cell>
          <cell r="G22">
            <v>-1.2999999999999999E-3</v>
          </cell>
          <cell r="H22">
            <v>8.5000000000000006E-3</v>
          </cell>
          <cell r="I22">
            <v>0.3281</v>
          </cell>
          <cell r="K22">
            <v>0.35489999999999999</v>
          </cell>
          <cell r="L22">
            <v>0</v>
          </cell>
          <cell r="P22">
            <v>-1.2999999999999999E-3</v>
          </cell>
          <cell r="Q22">
            <v>8.5000000000000006E-3</v>
          </cell>
          <cell r="R22">
            <v>0.36209999999999998</v>
          </cell>
          <cell r="T22">
            <v>0.41470000000000001</v>
          </cell>
          <cell r="U22">
            <v>0</v>
          </cell>
          <cell r="Y22">
            <v>-1.2999999999999999E-3</v>
          </cell>
          <cell r="Z22">
            <v>8.5000000000000006E-3</v>
          </cell>
          <cell r="AA22">
            <v>0.4219</v>
          </cell>
        </row>
        <row r="23">
          <cell r="A23">
            <v>35977</v>
          </cell>
          <cell r="B23">
            <v>0.31580000000000003</v>
          </cell>
          <cell r="C23">
            <v>0</v>
          </cell>
          <cell r="G23">
            <v>-1E-4</v>
          </cell>
          <cell r="H23">
            <v>8.5000000000000006E-3</v>
          </cell>
          <cell r="I23">
            <v>0.32420000000000004</v>
          </cell>
          <cell r="K23">
            <v>0.3498</v>
          </cell>
          <cell r="L23">
            <v>0</v>
          </cell>
          <cell r="P23">
            <v>-1E-4</v>
          </cell>
          <cell r="Q23">
            <v>8.5000000000000006E-3</v>
          </cell>
          <cell r="R23">
            <v>0.35820000000000002</v>
          </cell>
          <cell r="T23">
            <v>0.40960000000000002</v>
          </cell>
          <cell r="U23">
            <v>0</v>
          </cell>
          <cell r="Y23">
            <v>-1E-4</v>
          </cell>
          <cell r="Z23">
            <v>8.5000000000000006E-3</v>
          </cell>
          <cell r="AA23">
            <v>0.41800000000000004</v>
          </cell>
        </row>
        <row r="24">
          <cell r="A24">
            <v>36192</v>
          </cell>
          <cell r="B24">
            <v>0.31580000000000003</v>
          </cell>
          <cell r="C24">
            <v>0</v>
          </cell>
          <cell r="G24">
            <v>-1E-3</v>
          </cell>
          <cell r="H24">
            <v>7.6E-3</v>
          </cell>
          <cell r="I24">
            <v>0.32240000000000002</v>
          </cell>
          <cell r="K24">
            <v>0.3498</v>
          </cell>
          <cell r="L24">
            <v>0</v>
          </cell>
          <cell r="P24">
            <v>-1E-3</v>
          </cell>
          <cell r="Q24">
            <v>7.6E-3</v>
          </cell>
          <cell r="R24">
            <v>0.35639999999999999</v>
          </cell>
          <cell r="T24">
            <v>0.40960000000000002</v>
          </cell>
          <cell r="U24">
            <v>0</v>
          </cell>
          <cell r="Y24">
            <v>-1E-3</v>
          </cell>
          <cell r="Z24">
            <v>7.6E-3</v>
          </cell>
          <cell r="AA24">
            <v>0.41620000000000001</v>
          </cell>
        </row>
        <row r="25">
          <cell r="A25">
            <v>36831</v>
          </cell>
          <cell r="B25">
            <v>0.31330000000000002</v>
          </cell>
          <cell r="C25">
            <v>0</v>
          </cell>
          <cell r="G25">
            <v>0</v>
          </cell>
          <cell r="H25">
            <v>6.6E-3</v>
          </cell>
          <cell r="I25">
            <v>0.31990000000000002</v>
          </cell>
          <cell r="K25">
            <v>0.3473</v>
          </cell>
          <cell r="L25">
            <v>0</v>
          </cell>
          <cell r="P25">
            <v>0</v>
          </cell>
          <cell r="Q25">
            <v>6.6E-3</v>
          </cell>
          <cell r="R25">
            <v>0.35389999999999999</v>
          </cell>
          <cell r="T25">
            <v>0.40710000000000002</v>
          </cell>
          <cell r="U25">
            <v>0</v>
          </cell>
          <cell r="Y25">
            <v>0</v>
          </cell>
          <cell r="Z25">
            <v>6.6E-3</v>
          </cell>
          <cell r="AA25">
            <v>0.41370000000000001</v>
          </cell>
        </row>
        <row r="26">
          <cell r="A26">
            <v>36923</v>
          </cell>
          <cell r="B26">
            <v>0.41560000000000002</v>
          </cell>
          <cell r="C26">
            <v>0</v>
          </cell>
          <cell r="G26">
            <v>0</v>
          </cell>
          <cell r="H26">
            <v>6.6E-3</v>
          </cell>
          <cell r="I26">
            <v>0.42220000000000002</v>
          </cell>
          <cell r="K26">
            <v>0.47170000000000001</v>
          </cell>
          <cell r="L26">
            <v>0</v>
          </cell>
          <cell r="P26">
            <v>0</v>
          </cell>
          <cell r="Q26">
            <v>6.6E-3</v>
          </cell>
          <cell r="R26">
            <v>0.4783</v>
          </cell>
          <cell r="T26">
            <v>0.55459999999999998</v>
          </cell>
          <cell r="U26">
            <v>0</v>
          </cell>
          <cell r="Y26">
            <v>0</v>
          </cell>
          <cell r="Z26">
            <v>6.6E-3</v>
          </cell>
          <cell r="AA26">
            <v>0.56120000000000003</v>
          </cell>
        </row>
        <row r="27">
          <cell r="A27">
            <v>37012</v>
          </cell>
          <cell r="B27">
            <v>0.35499999999999998</v>
          </cell>
          <cell r="C27">
            <v>0</v>
          </cell>
          <cell r="G27">
            <v>0</v>
          </cell>
          <cell r="H27">
            <v>3.0000000000000001E-3</v>
          </cell>
          <cell r="I27">
            <v>0.35799999999999998</v>
          </cell>
          <cell r="K27">
            <v>0.4</v>
          </cell>
          <cell r="L27">
            <v>0</v>
          </cell>
          <cell r="P27">
            <v>0</v>
          </cell>
          <cell r="Q27">
            <v>3.0000000000000001E-3</v>
          </cell>
          <cell r="R27">
            <v>0.40300000000000002</v>
          </cell>
          <cell r="T27">
            <v>0.47</v>
          </cell>
          <cell r="U27">
            <v>0</v>
          </cell>
          <cell r="Y27">
            <v>0</v>
          </cell>
          <cell r="Z27">
            <v>3.0000000000000001E-3</v>
          </cell>
          <cell r="AA27">
            <v>0.47299999999999998</v>
          </cell>
        </row>
        <row r="28">
          <cell r="A28">
            <v>37104</v>
          </cell>
          <cell r="B28">
            <v>0.35499999999999998</v>
          </cell>
          <cell r="C28">
            <v>0</v>
          </cell>
          <cell r="G28">
            <v>0</v>
          </cell>
          <cell r="H28">
            <v>3.0000000000000001E-3</v>
          </cell>
          <cell r="I28">
            <v>0.35799999999999998</v>
          </cell>
          <cell r="K28">
            <v>0.4</v>
          </cell>
          <cell r="L28">
            <v>0</v>
          </cell>
          <cell r="P28">
            <v>0</v>
          </cell>
          <cell r="Q28">
            <v>3.0000000000000001E-3</v>
          </cell>
          <cell r="R28">
            <v>0.40300000000000002</v>
          </cell>
          <cell r="T28">
            <v>0.47</v>
          </cell>
          <cell r="U28">
            <v>0</v>
          </cell>
          <cell r="Y28">
            <v>0</v>
          </cell>
          <cell r="Z28">
            <v>3.0000000000000001E-3</v>
          </cell>
          <cell r="AA28">
            <v>0.47299999999999998</v>
          </cell>
        </row>
        <row r="29">
          <cell r="A29">
            <v>37561</v>
          </cell>
          <cell r="B29">
            <v>0.31879999999999997</v>
          </cell>
          <cell r="H29">
            <v>2.2000000000000001E-3</v>
          </cell>
          <cell r="I29">
            <v>0.32099999999999995</v>
          </cell>
          <cell r="K29">
            <v>0.35759999999999997</v>
          </cell>
          <cell r="Q29">
            <v>2.2000000000000001E-3</v>
          </cell>
          <cell r="R29">
            <v>0.35979999999999995</v>
          </cell>
          <cell r="T29">
            <v>0.4204</v>
          </cell>
          <cell r="Z29">
            <v>2.2000000000000001E-3</v>
          </cell>
          <cell r="AA29">
            <v>0.42259999999999998</v>
          </cell>
        </row>
        <row r="30">
          <cell r="A30">
            <v>37834</v>
          </cell>
          <cell r="B30">
            <v>0.31219999999999998</v>
          </cell>
          <cell r="H30">
            <v>1.6000000000000001E-3</v>
          </cell>
          <cell r="I30">
            <v>0.31379999999999997</v>
          </cell>
          <cell r="K30">
            <v>0.35099999999999998</v>
          </cell>
          <cell r="Q30">
            <v>1.6000000000000001E-3</v>
          </cell>
          <cell r="R30">
            <v>0.35259999999999997</v>
          </cell>
          <cell r="T30">
            <v>0.4138</v>
          </cell>
          <cell r="Z30">
            <v>1.6000000000000001E-3</v>
          </cell>
          <cell r="AA30">
            <v>0.41539999999999999</v>
          </cell>
        </row>
        <row r="31">
          <cell r="A31">
            <v>38200</v>
          </cell>
          <cell r="B31">
            <v>0.31219999999999998</v>
          </cell>
          <cell r="H31">
            <v>0</v>
          </cell>
          <cell r="I31">
            <v>0.31219999999999998</v>
          </cell>
          <cell r="K31">
            <v>0.35099999999999998</v>
          </cell>
          <cell r="L31">
            <v>0</v>
          </cell>
          <cell r="Q31">
            <v>0</v>
          </cell>
          <cell r="R31">
            <v>0.35099999999999998</v>
          </cell>
          <cell r="T31">
            <v>0.4138</v>
          </cell>
          <cell r="U31">
            <v>0</v>
          </cell>
          <cell r="Z31">
            <v>0</v>
          </cell>
          <cell r="AA31">
            <v>0.4138</v>
          </cell>
        </row>
        <row r="32">
          <cell r="A32">
            <v>38384</v>
          </cell>
          <cell r="B32">
            <v>0.31219999999999998</v>
          </cell>
          <cell r="H32">
            <v>0</v>
          </cell>
          <cell r="I32">
            <v>0.31219999999999998</v>
          </cell>
          <cell r="K32">
            <v>0.35099999999999998</v>
          </cell>
          <cell r="L32">
            <v>0</v>
          </cell>
          <cell r="Q32">
            <v>0</v>
          </cell>
          <cell r="R32">
            <v>0.35099999999999998</v>
          </cell>
          <cell r="T32">
            <v>0.4138</v>
          </cell>
          <cell r="U32">
            <v>0</v>
          </cell>
          <cell r="Z32">
            <v>0</v>
          </cell>
          <cell r="AA32">
            <v>0.4138</v>
          </cell>
        </row>
        <row r="33">
          <cell r="A33">
            <v>38473</v>
          </cell>
          <cell r="B33">
            <v>0.31219999999999998</v>
          </cell>
          <cell r="H33">
            <v>0</v>
          </cell>
          <cell r="I33">
            <v>0.31219999999999998</v>
          </cell>
          <cell r="K33">
            <v>0.35099999999999998</v>
          </cell>
          <cell r="L33">
            <v>0</v>
          </cell>
          <cell r="Q33">
            <v>0</v>
          </cell>
          <cell r="R33">
            <v>0.35099999999999998</v>
          </cell>
          <cell r="T33">
            <v>0.4138</v>
          </cell>
          <cell r="U33">
            <v>0</v>
          </cell>
          <cell r="Z33">
            <v>0</v>
          </cell>
          <cell r="AA33">
            <v>0.4138</v>
          </cell>
        </row>
        <row r="34">
          <cell r="A34">
            <v>38565</v>
          </cell>
          <cell r="B34">
            <v>0.31219999999999998</v>
          </cell>
          <cell r="H34">
            <v>0</v>
          </cell>
          <cell r="I34">
            <v>0.31219999999999998</v>
          </cell>
          <cell r="K34">
            <v>0.35099999999999998</v>
          </cell>
          <cell r="L34">
            <v>0</v>
          </cell>
          <cell r="Q34">
            <v>0</v>
          </cell>
          <cell r="R34">
            <v>0.35099999999999998</v>
          </cell>
          <cell r="T34">
            <v>0.4138</v>
          </cell>
          <cell r="U34">
            <v>0</v>
          </cell>
          <cell r="Z34">
            <v>0</v>
          </cell>
          <cell r="AA34">
            <v>0.4138</v>
          </cell>
        </row>
        <row r="35">
          <cell r="A35">
            <v>38687</v>
          </cell>
          <cell r="B35">
            <v>0.37240000000000001</v>
          </cell>
          <cell r="H35">
            <v>0</v>
          </cell>
          <cell r="I35">
            <v>0.37240000000000001</v>
          </cell>
          <cell r="K35">
            <v>0.42959999999999998</v>
          </cell>
          <cell r="L35">
            <v>0</v>
          </cell>
          <cell r="Q35">
            <v>0</v>
          </cell>
          <cell r="R35">
            <v>0.42959999999999998</v>
          </cell>
          <cell r="T35">
            <v>0.49759999999999999</v>
          </cell>
          <cell r="U35">
            <v>0</v>
          </cell>
          <cell r="Z35">
            <v>0</v>
          </cell>
          <cell r="AA35">
            <v>0.49759999999999999</v>
          </cell>
        </row>
        <row r="36">
          <cell r="A36">
            <v>38838</v>
          </cell>
          <cell r="B36">
            <v>0.30880000000000002</v>
          </cell>
          <cell r="H36">
            <v>0</v>
          </cell>
          <cell r="I36">
            <v>0.30880000000000002</v>
          </cell>
          <cell r="K36">
            <v>0.3543</v>
          </cell>
          <cell r="L36">
            <v>0</v>
          </cell>
          <cell r="Q36">
            <v>0</v>
          </cell>
          <cell r="R36">
            <v>0.3543</v>
          </cell>
          <cell r="T36">
            <v>0.41899999999999998</v>
          </cell>
          <cell r="U36">
            <v>0</v>
          </cell>
          <cell r="Z36">
            <v>0</v>
          </cell>
          <cell r="AA36">
            <v>0.41899999999999998</v>
          </cell>
        </row>
        <row r="37">
          <cell r="A37">
            <v>39114</v>
          </cell>
          <cell r="B37">
            <v>0.30880000000000002</v>
          </cell>
          <cell r="H37">
            <v>0</v>
          </cell>
          <cell r="I37">
            <v>0.30880000000000002</v>
          </cell>
          <cell r="K37">
            <v>0.3543</v>
          </cell>
          <cell r="L37">
            <v>0</v>
          </cell>
          <cell r="Q37">
            <v>0</v>
          </cell>
          <cell r="R37">
            <v>0.3543</v>
          </cell>
          <cell r="T37">
            <v>0.41899999999999998</v>
          </cell>
          <cell r="U37">
            <v>0</v>
          </cell>
          <cell r="Z37">
            <v>0</v>
          </cell>
          <cell r="AA37">
            <v>0.41899999999999998</v>
          </cell>
        </row>
        <row r="38">
          <cell r="A38">
            <v>54789</v>
          </cell>
        </row>
      </sheetData>
      <sheetData sheetId="66">
        <row r="9">
          <cell r="A9">
            <v>34973</v>
          </cell>
          <cell r="B9">
            <v>3.0300000000000001E-2</v>
          </cell>
          <cell r="E9">
            <v>8.5000000000000006E-3</v>
          </cell>
          <cell r="F9">
            <v>2.1000000000000003E-3</v>
          </cell>
          <cell r="G9">
            <v>4.0899999999999999E-2</v>
          </cell>
          <cell r="I9">
            <v>3.5500000000000004E-2</v>
          </cell>
          <cell r="L9">
            <v>8.5000000000000006E-3</v>
          </cell>
          <cell r="M9">
            <v>2.1000000000000003E-3</v>
          </cell>
          <cell r="N9">
            <v>4.6100000000000002E-2</v>
          </cell>
          <cell r="P9">
            <v>3.9800000000000002E-2</v>
          </cell>
          <cell r="S9">
            <v>8.5000000000000006E-3</v>
          </cell>
          <cell r="T9">
            <v>2.1000000000000003E-3</v>
          </cell>
          <cell r="U9">
            <v>5.04E-2</v>
          </cell>
        </row>
        <row r="10">
          <cell r="A10">
            <v>35065</v>
          </cell>
          <cell r="B10">
            <v>3.0300000000000001E-2</v>
          </cell>
          <cell r="E10">
            <v>8.8000000000000005E-3</v>
          </cell>
          <cell r="F10">
            <v>2.1000000000000003E-3</v>
          </cell>
          <cell r="G10">
            <v>4.1200000000000001E-2</v>
          </cell>
          <cell r="I10">
            <v>3.5500000000000004E-2</v>
          </cell>
          <cell r="L10">
            <v>8.8000000000000005E-3</v>
          </cell>
          <cell r="M10">
            <v>2.1000000000000003E-3</v>
          </cell>
          <cell r="N10">
            <v>4.6400000000000004E-2</v>
          </cell>
          <cell r="P10">
            <v>3.9800000000000002E-2</v>
          </cell>
          <cell r="S10">
            <v>8.8000000000000005E-3</v>
          </cell>
          <cell r="T10">
            <v>2.1000000000000003E-3</v>
          </cell>
          <cell r="U10">
            <v>5.0700000000000002E-2</v>
          </cell>
        </row>
        <row r="11">
          <cell r="A11">
            <v>35096</v>
          </cell>
          <cell r="B11">
            <v>2.9600000000000001E-2</v>
          </cell>
          <cell r="E11">
            <v>8.8000000000000005E-3</v>
          </cell>
          <cell r="F11">
            <v>2.1000000000000003E-3</v>
          </cell>
          <cell r="G11">
            <v>4.0500000000000001E-2</v>
          </cell>
          <cell r="I11">
            <v>3.3599999999999998E-2</v>
          </cell>
          <cell r="L11">
            <v>8.8000000000000005E-3</v>
          </cell>
          <cell r="M11">
            <v>2.1000000000000003E-3</v>
          </cell>
          <cell r="N11">
            <v>4.4499999999999998E-2</v>
          </cell>
          <cell r="P11">
            <v>3.7699999999999997E-2</v>
          </cell>
          <cell r="S11">
            <v>8.8000000000000005E-3</v>
          </cell>
          <cell r="T11">
            <v>2.1000000000000003E-3</v>
          </cell>
          <cell r="U11">
            <v>4.8599999999999997E-2</v>
          </cell>
        </row>
        <row r="12">
          <cell r="A12">
            <v>35125</v>
          </cell>
          <cell r="B12">
            <v>2.0299999999999999E-2</v>
          </cell>
          <cell r="E12">
            <v>8.8000000000000005E-3</v>
          </cell>
          <cell r="F12">
            <v>2.0999999999999999E-3</v>
          </cell>
          <cell r="G12">
            <v>3.1200000000000002E-2</v>
          </cell>
          <cell r="I12">
            <v>2.4299999999999999E-2</v>
          </cell>
          <cell r="L12">
            <v>8.8000000000000005E-3</v>
          </cell>
          <cell r="M12">
            <v>2.0999999999999999E-3</v>
          </cell>
          <cell r="N12">
            <v>3.5199999999999995E-2</v>
          </cell>
          <cell r="P12">
            <v>2.8400000000000002E-2</v>
          </cell>
          <cell r="S12">
            <v>8.8000000000000005E-3</v>
          </cell>
          <cell r="T12">
            <v>2.0999999999999999E-3</v>
          </cell>
          <cell r="U12">
            <v>3.9300000000000002E-2</v>
          </cell>
        </row>
        <row r="13">
          <cell r="A13">
            <v>35247</v>
          </cell>
          <cell r="B13">
            <v>2.9600000000000001E-2</v>
          </cell>
          <cell r="C13">
            <v>-6.7000000000000002E-3</v>
          </cell>
          <cell r="D13">
            <v>-2.5999999999999999E-3</v>
          </cell>
          <cell r="E13">
            <v>8.8000000000000005E-3</v>
          </cell>
          <cell r="F13">
            <v>2.0999999999999999E-3</v>
          </cell>
          <cell r="G13">
            <v>3.1200000000000002E-2</v>
          </cell>
          <cell r="I13">
            <v>3.3599999999999998E-2</v>
          </cell>
          <cell r="J13">
            <v>-6.7000000000000002E-3</v>
          </cell>
          <cell r="K13">
            <v>-2.5999999999999999E-3</v>
          </cell>
          <cell r="L13">
            <v>8.8000000000000005E-3</v>
          </cell>
          <cell r="M13">
            <v>2.0999999999999999E-3</v>
          </cell>
          <cell r="N13">
            <v>3.5199999999999995E-2</v>
          </cell>
          <cell r="P13">
            <v>3.7699999999999997E-2</v>
          </cell>
          <cell r="Q13">
            <v>-6.7000000000000002E-3</v>
          </cell>
          <cell r="R13">
            <v>-2.5999999999999999E-3</v>
          </cell>
          <cell r="S13">
            <v>8.8000000000000005E-3</v>
          </cell>
          <cell r="T13">
            <v>2.0999999999999999E-3</v>
          </cell>
          <cell r="U13">
            <v>3.9299999999999995E-2</v>
          </cell>
        </row>
        <row r="14">
          <cell r="A14">
            <v>35309</v>
          </cell>
          <cell r="B14">
            <v>2.9600000000000001E-2</v>
          </cell>
          <cell r="C14">
            <v>-7.1999999999999998E-3</v>
          </cell>
          <cell r="D14">
            <v>-5.0000000000000001E-3</v>
          </cell>
          <cell r="E14">
            <v>8.8000000000000005E-3</v>
          </cell>
          <cell r="F14">
            <v>2.0999999999999999E-3</v>
          </cell>
          <cell r="G14">
            <v>2.8300000000000002E-2</v>
          </cell>
          <cell r="I14">
            <v>3.3599999999999998E-2</v>
          </cell>
          <cell r="J14">
            <v>-7.1999999999999998E-3</v>
          </cell>
          <cell r="K14">
            <v>-5.0000000000000001E-3</v>
          </cell>
          <cell r="L14">
            <v>8.8000000000000005E-3</v>
          </cell>
          <cell r="M14">
            <v>2.0999999999999999E-3</v>
          </cell>
          <cell r="N14">
            <v>3.2299999999999995E-2</v>
          </cell>
          <cell r="P14">
            <v>3.7699999999999997E-2</v>
          </cell>
          <cell r="Q14">
            <v>-7.1999999999999998E-3</v>
          </cell>
          <cell r="R14">
            <v>-5.0000000000000001E-3</v>
          </cell>
          <cell r="S14">
            <v>8.8000000000000005E-3</v>
          </cell>
          <cell r="T14">
            <v>2.0999999999999999E-3</v>
          </cell>
          <cell r="U14">
            <v>3.6399999999999995E-2</v>
          </cell>
        </row>
        <row r="15">
          <cell r="A15">
            <v>35339</v>
          </cell>
          <cell r="B15">
            <v>2.9600000000000001E-2</v>
          </cell>
          <cell r="C15">
            <v>-7.1999999999999998E-3</v>
          </cell>
          <cell r="D15">
            <v>-5.0000000000000001E-3</v>
          </cell>
          <cell r="E15">
            <v>8.8000000000000005E-3</v>
          </cell>
          <cell r="F15">
            <v>1.8E-3</v>
          </cell>
          <cell r="G15">
            <v>2.8000000000000001E-2</v>
          </cell>
          <cell r="I15">
            <v>3.3599999999999998E-2</v>
          </cell>
          <cell r="J15">
            <v>-7.1999999999999998E-3</v>
          </cell>
          <cell r="K15">
            <v>-5.0000000000000001E-3</v>
          </cell>
          <cell r="L15">
            <v>8.8000000000000005E-3</v>
          </cell>
          <cell r="M15">
            <v>1.8E-3</v>
          </cell>
          <cell r="N15">
            <v>3.2000000000000001E-2</v>
          </cell>
          <cell r="P15">
            <v>3.7699999999999997E-2</v>
          </cell>
          <cell r="Q15">
            <v>-7.1999999999999998E-3</v>
          </cell>
          <cell r="R15">
            <v>-5.0000000000000001E-3</v>
          </cell>
          <cell r="S15">
            <v>8.8000000000000005E-3</v>
          </cell>
          <cell r="T15">
            <v>1.8E-3</v>
          </cell>
          <cell r="U15">
            <v>3.61E-2</v>
          </cell>
        </row>
        <row r="16">
          <cell r="A16">
            <v>35462</v>
          </cell>
          <cell r="B16">
            <v>2.9600000000000001E-2</v>
          </cell>
          <cell r="C16">
            <v>-7.1999999999999998E-3</v>
          </cell>
          <cell r="D16">
            <v>-5.0000000000000001E-3</v>
          </cell>
          <cell r="E16">
            <v>8.8000000000000005E-3</v>
          </cell>
          <cell r="F16">
            <v>1.8E-3</v>
          </cell>
          <cell r="G16">
            <v>2.8000000000000001E-2</v>
          </cell>
          <cell r="I16">
            <v>3.3599999999999998E-2</v>
          </cell>
          <cell r="J16">
            <v>-7.1999999999999998E-3</v>
          </cell>
          <cell r="K16">
            <v>-5.0000000000000001E-3</v>
          </cell>
          <cell r="L16">
            <v>8.8000000000000005E-3</v>
          </cell>
          <cell r="M16">
            <v>1.8E-3</v>
          </cell>
          <cell r="N16">
            <v>3.2000000000000001E-2</v>
          </cell>
          <cell r="P16">
            <v>3.7699999999999997E-2</v>
          </cell>
          <cell r="Q16">
            <v>-7.1999999999999998E-3</v>
          </cell>
          <cell r="R16">
            <v>-5.0000000000000001E-3</v>
          </cell>
          <cell r="S16">
            <v>8.8000000000000005E-3</v>
          </cell>
          <cell r="T16">
            <v>1.8E-3</v>
          </cell>
          <cell r="U16">
            <v>3.61E-2</v>
          </cell>
        </row>
        <row r="17">
          <cell r="A17">
            <v>35490</v>
          </cell>
          <cell r="B17">
            <v>2.9600000000000001E-2</v>
          </cell>
          <cell r="C17">
            <v>-6.8999999999999999E-3</v>
          </cell>
          <cell r="D17">
            <v>1E-4</v>
          </cell>
          <cell r="E17">
            <v>8.8000000000000005E-3</v>
          </cell>
          <cell r="F17">
            <v>1.8E-3</v>
          </cell>
          <cell r="G17">
            <v>3.3400000000000006E-2</v>
          </cell>
          <cell r="I17">
            <v>3.3599999999999998E-2</v>
          </cell>
          <cell r="J17">
            <v>-6.8999999999999999E-3</v>
          </cell>
          <cell r="K17">
            <v>1E-4</v>
          </cell>
          <cell r="L17">
            <v>8.8000000000000005E-3</v>
          </cell>
          <cell r="M17">
            <v>1.8E-3</v>
          </cell>
          <cell r="N17">
            <v>3.7400000000000003E-2</v>
          </cell>
          <cell r="P17">
            <v>3.7699999999999997E-2</v>
          </cell>
          <cell r="Q17">
            <v>-6.8999999999999999E-3</v>
          </cell>
          <cell r="R17">
            <v>1E-4</v>
          </cell>
          <cell r="S17">
            <v>8.8000000000000005E-3</v>
          </cell>
          <cell r="T17">
            <v>1.8E-3</v>
          </cell>
          <cell r="U17">
            <v>4.1500000000000002E-2</v>
          </cell>
        </row>
        <row r="18">
          <cell r="A18">
            <v>35612</v>
          </cell>
          <cell r="B18">
            <v>2.9600000000000001E-2</v>
          </cell>
          <cell r="C18">
            <v>-6.8999999999999999E-3</v>
          </cell>
          <cell r="D18">
            <v>1E-4</v>
          </cell>
          <cell r="E18">
            <v>8.8000000000000005E-3</v>
          </cell>
          <cell r="F18">
            <v>1.8E-3</v>
          </cell>
          <cell r="G18">
            <v>3.3400000000000006E-2</v>
          </cell>
          <cell r="I18">
            <v>3.3599999999999998E-2</v>
          </cell>
          <cell r="J18">
            <v>-6.8999999999999999E-3</v>
          </cell>
          <cell r="K18">
            <v>1E-4</v>
          </cell>
          <cell r="L18">
            <v>8.8000000000000005E-3</v>
          </cell>
          <cell r="M18">
            <v>1.8E-3</v>
          </cell>
          <cell r="N18">
            <v>3.7400000000000003E-2</v>
          </cell>
          <cell r="P18">
            <v>3.7699999999999997E-2</v>
          </cell>
          <cell r="Q18">
            <v>-6.8999999999999999E-3</v>
          </cell>
          <cell r="R18">
            <v>1E-4</v>
          </cell>
          <cell r="S18">
            <v>8.8000000000000005E-3</v>
          </cell>
          <cell r="T18">
            <v>1.8E-3</v>
          </cell>
          <cell r="U18">
            <v>4.1500000000000002E-2</v>
          </cell>
        </row>
        <row r="19">
          <cell r="A19">
            <v>35704</v>
          </cell>
          <cell r="B19">
            <v>2.7400000000000001E-2</v>
          </cell>
          <cell r="E19">
            <v>8.8000000000000005E-3</v>
          </cell>
          <cell r="F19">
            <v>1.8E-3</v>
          </cell>
          <cell r="G19">
            <v>3.8000000000000006E-2</v>
          </cell>
          <cell r="I19">
            <v>3.3500000000000002E-2</v>
          </cell>
          <cell r="L19">
            <v>8.8000000000000005E-3</v>
          </cell>
          <cell r="M19">
            <v>1.8E-3</v>
          </cell>
          <cell r="N19">
            <v>4.4100000000000007E-2</v>
          </cell>
          <cell r="P19">
            <v>4.0399999999999998E-2</v>
          </cell>
          <cell r="S19">
            <v>8.8000000000000005E-3</v>
          </cell>
          <cell r="T19">
            <v>1.8E-3</v>
          </cell>
          <cell r="U19">
            <v>5.1000000000000004E-2</v>
          </cell>
        </row>
        <row r="20">
          <cell r="A20">
            <v>35796</v>
          </cell>
          <cell r="B20">
            <v>2.7400000000000001E-2</v>
          </cell>
          <cell r="E20">
            <v>8.8000000000000005E-3</v>
          </cell>
          <cell r="F20">
            <v>2.2000000000000001E-3</v>
          </cell>
          <cell r="G20">
            <v>3.8400000000000004E-2</v>
          </cell>
          <cell r="I20">
            <v>3.3500000000000002E-2</v>
          </cell>
          <cell r="L20">
            <v>8.8000000000000005E-3</v>
          </cell>
          <cell r="M20">
            <v>2.2000000000000001E-3</v>
          </cell>
          <cell r="N20">
            <v>4.4500000000000005E-2</v>
          </cell>
          <cell r="P20">
            <v>4.0300000000000002E-2</v>
          </cell>
          <cell r="S20">
            <v>8.8000000000000005E-3</v>
          </cell>
          <cell r="T20">
            <v>2.2000000000000001E-3</v>
          </cell>
          <cell r="U20">
            <v>5.1300000000000005E-2</v>
          </cell>
        </row>
        <row r="21">
          <cell r="A21">
            <v>35947</v>
          </cell>
          <cell r="B21">
            <v>2.63E-2</v>
          </cell>
          <cell r="E21">
            <v>8.8000000000000005E-3</v>
          </cell>
          <cell r="F21">
            <v>2.2000000000000001E-3</v>
          </cell>
          <cell r="G21">
            <v>3.73E-2</v>
          </cell>
          <cell r="I21">
            <v>3.1E-2</v>
          </cell>
          <cell r="L21">
            <v>8.8000000000000005E-3</v>
          </cell>
          <cell r="M21">
            <v>2.2000000000000001E-3</v>
          </cell>
          <cell r="N21">
            <v>4.2000000000000003E-2</v>
          </cell>
          <cell r="P21">
            <v>3.61E-2</v>
          </cell>
          <cell r="S21">
            <v>8.8000000000000005E-3</v>
          </cell>
          <cell r="T21">
            <v>2.2000000000000001E-3</v>
          </cell>
          <cell r="U21">
            <v>4.7100000000000003E-2</v>
          </cell>
        </row>
        <row r="22">
          <cell r="A22">
            <v>35977</v>
          </cell>
          <cell r="B22">
            <v>2.35E-2</v>
          </cell>
          <cell r="E22">
            <v>8.8000000000000005E-3</v>
          </cell>
          <cell r="F22">
            <v>2.2000000000000001E-3</v>
          </cell>
          <cell r="G22">
            <v>3.4500000000000003E-2</v>
          </cell>
          <cell r="I22">
            <v>2.8199999999999999E-2</v>
          </cell>
          <cell r="L22">
            <v>8.8000000000000005E-3</v>
          </cell>
          <cell r="M22">
            <v>2.2000000000000001E-3</v>
          </cell>
          <cell r="N22">
            <v>3.9199999999999999E-2</v>
          </cell>
          <cell r="P22">
            <v>3.3300000000000003E-2</v>
          </cell>
          <cell r="S22">
            <v>8.8000000000000005E-3</v>
          </cell>
          <cell r="T22">
            <v>2.2000000000000001E-3</v>
          </cell>
          <cell r="U22">
            <v>4.4300000000000006E-2</v>
          </cell>
        </row>
        <row r="23">
          <cell r="A23">
            <v>36192</v>
          </cell>
          <cell r="B23">
            <v>2.6800000000000001E-2</v>
          </cell>
          <cell r="E23">
            <v>7.4999999999999997E-3</v>
          </cell>
          <cell r="F23">
            <v>2.2000000000000001E-3</v>
          </cell>
          <cell r="G23">
            <v>3.6499999999999998E-2</v>
          </cell>
          <cell r="I23">
            <v>3.15E-2</v>
          </cell>
          <cell r="L23">
            <v>7.4999999999999997E-3</v>
          </cell>
          <cell r="M23">
            <v>2.2000000000000001E-3</v>
          </cell>
          <cell r="N23">
            <v>4.1200000000000001E-2</v>
          </cell>
          <cell r="P23">
            <v>3.6600000000000001E-2</v>
          </cell>
          <cell r="S23">
            <v>7.4999999999999997E-3</v>
          </cell>
          <cell r="T23">
            <v>2.2000000000000001E-3</v>
          </cell>
          <cell r="U23">
            <v>4.6300000000000001E-2</v>
          </cell>
        </row>
        <row r="24">
          <cell r="A24">
            <v>36831</v>
          </cell>
          <cell r="B24">
            <v>2.5899999999999999E-2</v>
          </cell>
          <cell r="E24">
            <v>7.1999999999999998E-3</v>
          </cell>
          <cell r="F24">
            <v>2.2000000000000001E-3</v>
          </cell>
          <cell r="G24">
            <v>3.5299999999999998E-2</v>
          </cell>
          <cell r="I24">
            <v>3.0599999999999999E-2</v>
          </cell>
          <cell r="L24">
            <v>7.1999999999999998E-3</v>
          </cell>
          <cell r="M24">
            <v>2.2000000000000001E-3</v>
          </cell>
          <cell r="N24">
            <v>0.04</v>
          </cell>
          <cell r="P24">
            <v>3.5700000000000003E-2</v>
          </cell>
          <cell r="S24">
            <v>7.1999999999999998E-3</v>
          </cell>
          <cell r="T24">
            <v>2.2000000000000001E-3</v>
          </cell>
          <cell r="U24">
            <v>4.5100000000000001E-2</v>
          </cell>
        </row>
        <row r="25">
          <cell r="A25">
            <v>36923</v>
          </cell>
          <cell r="B25">
            <v>2.58E-2</v>
          </cell>
          <cell r="E25">
            <v>7.1999999999999998E-3</v>
          </cell>
          <cell r="F25">
            <v>2.2000000000000001E-3</v>
          </cell>
          <cell r="G25">
            <v>3.5200000000000002E-2</v>
          </cell>
          <cell r="I25">
            <v>2.53E-2</v>
          </cell>
          <cell r="L25">
            <v>7.1999999999999998E-3</v>
          </cell>
          <cell r="M25">
            <v>2.2000000000000001E-3</v>
          </cell>
          <cell r="N25">
            <v>3.4700000000000002E-2</v>
          </cell>
          <cell r="P25">
            <v>3.1300000000000001E-2</v>
          </cell>
          <cell r="S25">
            <v>7.1999999999999998E-3</v>
          </cell>
          <cell r="T25">
            <v>2.2000000000000001E-3</v>
          </cell>
          <cell r="U25">
            <v>4.07E-2</v>
          </cell>
        </row>
        <row r="26">
          <cell r="A26">
            <v>37012</v>
          </cell>
          <cell r="B26">
            <v>2.58E-2</v>
          </cell>
          <cell r="E26">
            <v>7.0000000000000001E-3</v>
          </cell>
          <cell r="F26">
            <v>2.2000000000000001E-3</v>
          </cell>
          <cell r="G26">
            <v>3.5000000000000003E-2</v>
          </cell>
          <cell r="I26">
            <v>2.53E-2</v>
          </cell>
          <cell r="L26">
            <v>7.0000000000000001E-3</v>
          </cell>
          <cell r="M26">
            <v>2.2000000000000001E-3</v>
          </cell>
          <cell r="N26">
            <v>3.4500000000000003E-2</v>
          </cell>
          <cell r="P26">
            <v>3.1300000000000001E-2</v>
          </cell>
          <cell r="S26">
            <v>7.0000000000000001E-3</v>
          </cell>
          <cell r="T26">
            <v>2.2000000000000001E-3</v>
          </cell>
          <cell r="U26">
            <v>4.0500000000000001E-2</v>
          </cell>
        </row>
        <row r="27">
          <cell r="A27">
            <v>37012</v>
          </cell>
          <cell r="B27">
            <v>2.58E-2</v>
          </cell>
          <cell r="E27">
            <v>7.0000000000000001E-3</v>
          </cell>
          <cell r="F27">
            <v>2.0999999999999999E-3</v>
          </cell>
          <cell r="G27">
            <v>3.49E-2</v>
          </cell>
          <cell r="I27">
            <v>2.53E-2</v>
          </cell>
          <cell r="L27">
            <v>7.0000000000000001E-3</v>
          </cell>
          <cell r="M27">
            <v>2.0999999999999999E-3</v>
          </cell>
          <cell r="N27">
            <v>3.44E-2</v>
          </cell>
          <cell r="P27">
            <v>3.1300000000000001E-2</v>
          </cell>
          <cell r="S27">
            <v>7.0000000000000001E-3</v>
          </cell>
          <cell r="T27">
            <v>2.0999999999999999E-3</v>
          </cell>
          <cell r="U27">
            <v>4.0399999999999998E-2</v>
          </cell>
        </row>
        <row r="28">
          <cell r="A28">
            <v>37561</v>
          </cell>
          <cell r="B28">
            <v>3.9300000000000002E-2</v>
          </cell>
          <cell r="E28">
            <v>5.4999999999999997E-3</v>
          </cell>
          <cell r="F28">
            <v>2.0999999999999999E-3</v>
          </cell>
          <cell r="G28">
            <v>4.6899999999999997E-2</v>
          </cell>
          <cell r="I28">
            <v>4.9399999999999999E-2</v>
          </cell>
          <cell r="L28">
            <v>5.4999999999999997E-3</v>
          </cell>
          <cell r="M28">
            <v>2.0999999999999999E-3</v>
          </cell>
          <cell r="N28">
            <v>5.6999999999999995E-2</v>
          </cell>
          <cell r="P28">
            <v>5.7000000000000002E-2</v>
          </cell>
          <cell r="S28">
            <v>5.4999999999999997E-3</v>
          </cell>
          <cell r="T28">
            <v>2.0999999999999999E-3</v>
          </cell>
          <cell r="U28">
            <v>6.4600000000000005E-2</v>
          </cell>
        </row>
        <row r="29">
          <cell r="A29">
            <v>37834</v>
          </cell>
          <cell r="B29">
            <v>3.9199999999999999E-2</v>
          </cell>
          <cell r="E29">
            <v>4.0000000000000001E-3</v>
          </cell>
          <cell r="F29">
            <v>2.0999999999999999E-3</v>
          </cell>
          <cell r="G29">
            <v>4.53E-2</v>
          </cell>
          <cell r="I29">
            <v>4.9299999999999997E-2</v>
          </cell>
          <cell r="L29">
            <v>4.0000000000000001E-3</v>
          </cell>
          <cell r="M29">
            <v>2.0999999999999999E-3</v>
          </cell>
          <cell r="N29">
            <v>5.5399999999999998E-2</v>
          </cell>
          <cell r="P29">
            <v>5.6899999999999999E-2</v>
          </cell>
          <cell r="S29">
            <v>4.0000000000000001E-3</v>
          </cell>
          <cell r="T29">
            <v>2.0999999999999999E-3</v>
          </cell>
          <cell r="U29">
            <v>6.3E-2</v>
          </cell>
        </row>
        <row r="30">
          <cell r="A30">
            <v>38292</v>
          </cell>
          <cell r="B30">
            <v>3.9199999999999999E-2</v>
          </cell>
          <cell r="E30">
            <v>0</v>
          </cell>
          <cell r="F30">
            <v>2.0999999999999999E-3</v>
          </cell>
          <cell r="G30">
            <v>4.1299999999999996E-2</v>
          </cell>
          <cell r="I30">
            <v>4.9299999999999997E-2</v>
          </cell>
          <cell r="L30">
            <v>0</v>
          </cell>
          <cell r="M30">
            <v>2.0999999999999999E-3</v>
          </cell>
          <cell r="N30">
            <v>5.1399999999999994E-2</v>
          </cell>
          <cell r="P30">
            <v>5.6899999999999999E-2</v>
          </cell>
          <cell r="S30">
            <v>0</v>
          </cell>
          <cell r="T30">
            <v>2.0999999999999999E-3</v>
          </cell>
          <cell r="U30">
            <v>5.8999999999999997E-2</v>
          </cell>
        </row>
        <row r="31">
          <cell r="A31">
            <v>38384</v>
          </cell>
          <cell r="B31">
            <v>3.9199999999999999E-2</v>
          </cell>
          <cell r="E31">
            <v>0</v>
          </cell>
          <cell r="F31">
            <v>1.9E-3</v>
          </cell>
          <cell r="G31">
            <v>4.1099999999999998E-2</v>
          </cell>
          <cell r="I31">
            <v>4.9299999999999997E-2</v>
          </cell>
          <cell r="L31">
            <v>0</v>
          </cell>
          <cell r="M31">
            <v>1.9E-3</v>
          </cell>
          <cell r="N31">
            <v>5.1199999999999996E-2</v>
          </cell>
          <cell r="P31">
            <v>5.6899999999999999E-2</v>
          </cell>
          <cell r="S31">
            <v>0</v>
          </cell>
          <cell r="T31">
            <v>1.9E-3</v>
          </cell>
          <cell r="U31">
            <v>5.8799999999999998E-2</v>
          </cell>
        </row>
        <row r="32">
          <cell r="A32">
            <v>38473</v>
          </cell>
          <cell r="B32">
            <v>3.9199999999999999E-2</v>
          </cell>
          <cell r="E32">
            <v>0</v>
          </cell>
          <cell r="F32">
            <v>1.9E-3</v>
          </cell>
          <cell r="G32">
            <v>4.1099999999999998E-2</v>
          </cell>
          <cell r="I32">
            <v>4.9299999999999997E-2</v>
          </cell>
          <cell r="L32">
            <v>0</v>
          </cell>
          <cell r="M32">
            <v>1.9E-3</v>
          </cell>
          <cell r="N32">
            <v>5.1199999999999996E-2</v>
          </cell>
          <cell r="P32">
            <v>5.6899999999999999E-2</v>
          </cell>
          <cell r="S32">
            <v>0</v>
          </cell>
          <cell r="T32">
            <v>1.9E-3</v>
          </cell>
          <cell r="U32">
            <v>5.8799999999999998E-2</v>
          </cell>
        </row>
        <row r="33">
          <cell r="A33">
            <v>38565</v>
          </cell>
          <cell r="B33">
            <v>3.9199999999999999E-2</v>
          </cell>
          <cell r="E33">
            <v>0</v>
          </cell>
          <cell r="F33">
            <v>1.9E-3</v>
          </cell>
          <cell r="G33">
            <v>4.1099999999999998E-2</v>
          </cell>
          <cell r="I33">
            <v>4.9299999999999997E-2</v>
          </cell>
          <cell r="L33">
            <v>0</v>
          </cell>
          <cell r="M33">
            <v>1.9E-3</v>
          </cell>
          <cell r="N33">
            <v>5.1199999999999996E-2</v>
          </cell>
          <cell r="P33">
            <v>5.6899999999999999E-2</v>
          </cell>
          <cell r="S33">
            <v>0</v>
          </cell>
          <cell r="T33">
            <v>1.9E-3</v>
          </cell>
          <cell r="U33">
            <v>5.8799999999999998E-2</v>
          </cell>
        </row>
        <row r="34">
          <cell r="A34">
            <v>38687</v>
          </cell>
          <cell r="B34">
            <v>5.1200000000000002E-2</v>
          </cell>
          <cell r="E34">
            <v>0</v>
          </cell>
          <cell r="F34">
            <v>1.8E-3</v>
          </cell>
          <cell r="G34">
            <v>5.3000000000000005E-2</v>
          </cell>
          <cell r="I34">
            <v>5.45E-2</v>
          </cell>
          <cell r="L34">
            <v>0</v>
          </cell>
          <cell r="M34">
            <v>1.8E-3</v>
          </cell>
          <cell r="N34">
            <v>5.6300000000000003E-2</v>
          </cell>
          <cell r="P34">
            <v>6.6699999999999995E-2</v>
          </cell>
          <cell r="S34">
            <v>0</v>
          </cell>
          <cell r="T34">
            <v>1.8E-3</v>
          </cell>
          <cell r="U34">
            <v>6.8499999999999991E-2</v>
          </cell>
        </row>
        <row r="35">
          <cell r="A35">
            <v>38838</v>
          </cell>
          <cell r="B35">
            <v>4.5999999999999999E-2</v>
          </cell>
          <cell r="E35">
            <v>0</v>
          </cell>
          <cell r="F35">
            <v>1.8E-3</v>
          </cell>
          <cell r="G35">
            <v>4.7800000000000002E-2</v>
          </cell>
          <cell r="I35">
            <v>4.9000000000000002E-2</v>
          </cell>
          <cell r="L35">
            <v>0</v>
          </cell>
          <cell r="M35">
            <v>1.8E-3</v>
          </cell>
          <cell r="N35">
            <v>5.0800000000000005E-2</v>
          </cell>
          <cell r="P35">
            <v>6.1400000000000003E-2</v>
          </cell>
          <cell r="S35">
            <v>0</v>
          </cell>
          <cell r="T35">
            <v>1.8E-3</v>
          </cell>
          <cell r="U35">
            <v>6.3200000000000006E-2</v>
          </cell>
        </row>
        <row r="36">
          <cell r="A36">
            <v>39114</v>
          </cell>
          <cell r="B36">
            <v>4.5999999999999999E-2</v>
          </cell>
          <cell r="E36">
            <v>0</v>
          </cell>
          <cell r="F36">
            <v>1.6000000000000001E-3</v>
          </cell>
          <cell r="G36">
            <v>4.7599999999999996E-2</v>
          </cell>
          <cell r="I36">
            <v>4.9000000000000002E-2</v>
          </cell>
          <cell r="L36">
            <v>0</v>
          </cell>
          <cell r="M36">
            <v>1.6000000000000001E-3</v>
          </cell>
          <cell r="N36">
            <v>5.0599999999999999E-2</v>
          </cell>
          <cell r="P36">
            <v>6.1400000000000003E-2</v>
          </cell>
          <cell r="S36">
            <v>0</v>
          </cell>
          <cell r="T36">
            <v>1.6000000000000001E-3</v>
          </cell>
          <cell r="U36">
            <v>6.3E-2</v>
          </cell>
        </row>
        <row r="37">
          <cell r="A37">
            <v>54789</v>
          </cell>
        </row>
      </sheetData>
      <sheetData sheetId="67">
        <row r="10">
          <cell r="A10">
            <v>34973</v>
          </cell>
          <cell r="B10">
            <v>0.29920000000000002</v>
          </cell>
          <cell r="C10">
            <v>2.46E-2</v>
          </cell>
          <cell r="H10">
            <v>7.2000000000000007E-3</v>
          </cell>
          <cell r="I10">
            <v>0.33100000000000002</v>
          </cell>
          <cell r="K10">
            <v>0.3422</v>
          </cell>
          <cell r="L10">
            <v>2.46E-2</v>
          </cell>
          <cell r="Q10">
            <v>7.2000000000000007E-3</v>
          </cell>
          <cell r="R10">
            <v>0.374</v>
          </cell>
          <cell r="T10">
            <v>0.40029999999999999</v>
          </cell>
          <cell r="U10">
            <v>2.46E-2</v>
          </cell>
          <cell r="Z10">
            <v>7.2000000000000007E-3</v>
          </cell>
          <cell r="AA10">
            <v>0.43209999999999998</v>
          </cell>
          <cell r="AC10">
            <v>0.31909999999999999</v>
          </cell>
          <cell r="AD10">
            <v>2.46E-2</v>
          </cell>
          <cell r="AI10">
            <v>7.2000000000000007E-3</v>
          </cell>
          <cell r="AJ10">
            <v>0.35089999999999999</v>
          </cell>
        </row>
        <row r="11">
          <cell r="A11">
            <v>35065</v>
          </cell>
          <cell r="B11">
            <v>0.29920000000000002</v>
          </cell>
          <cell r="C11">
            <v>1.7500000000000002E-2</v>
          </cell>
          <cell r="H11">
            <v>8.5000000000000006E-3</v>
          </cell>
          <cell r="I11">
            <v>0.32520000000000004</v>
          </cell>
          <cell r="K11">
            <v>0.3422</v>
          </cell>
          <cell r="L11">
            <v>1.7500000000000002E-2</v>
          </cell>
          <cell r="Q11">
            <v>8.5000000000000006E-3</v>
          </cell>
          <cell r="R11">
            <v>0.36820000000000003</v>
          </cell>
          <cell r="T11">
            <v>0.40029999999999999</v>
          </cell>
          <cell r="U11">
            <v>1.7500000000000002E-2</v>
          </cell>
          <cell r="Z11">
            <v>8.5000000000000006E-3</v>
          </cell>
          <cell r="AA11">
            <v>0.42630000000000001</v>
          </cell>
          <cell r="AC11">
            <v>0.31909999999999999</v>
          </cell>
          <cell r="AD11">
            <v>1.7500000000000002E-2</v>
          </cell>
          <cell r="AI11">
            <v>8.5000000000000006E-3</v>
          </cell>
          <cell r="AJ11">
            <v>0.34510000000000002</v>
          </cell>
        </row>
        <row r="12">
          <cell r="A12">
            <v>35096</v>
          </cell>
          <cell r="B12">
            <v>0.30020000000000002</v>
          </cell>
          <cell r="C12">
            <v>1.7500000000000002E-2</v>
          </cell>
          <cell r="H12">
            <v>8.5000000000000006E-3</v>
          </cell>
          <cell r="I12">
            <v>0.32620000000000005</v>
          </cell>
          <cell r="K12">
            <v>0.34320000000000001</v>
          </cell>
          <cell r="L12">
            <v>1.7500000000000002E-2</v>
          </cell>
          <cell r="Q12">
            <v>8.5000000000000006E-3</v>
          </cell>
          <cell r="R12">
            <v>0.36920000000000003</v>
          </cell>
          <cell r="T12">
            <v>0.40129999999999999</v>
          </cell>
          <cell r="U12">
            <v>1.7500000000000002E-2</v>
          </cell>
          <cell r="Z12">
            <v>8.5000000000000006E-3</v>
          </cell>
          <cell r="AA12">
            <v>0.42730000000000001</v>
          </cell>
          <cell r="AC12">
            <v>0.3201</v>
          </cell>
          <cell r="AD12">
            <v>1.7500000000000002E-2</v>
          </cell>
          <cell r="AI12">
            <v>8.5000000000000006E-3</v>
          </cell>
          <cell r="AJ12">
            <v>0.34610000000000002</v>
          </cell>
        </row>
        <row r="13">
          <cell r="A13">
            <v>35125</v>
          </cell>
          <cell r="B13">
            <v>0.24440000000000001</v>
          </cell>
          <cell r="C13">
            <v>1.7500000000000002E-2</v>
          </cell>
          <cell r="H13">
            <v>8.5000000000000006E-3</v>
          </cell>
          <cell r="I13">
            <v>0.27040000000000003</v>
          </cell>
          <cell r="K13">
            <v>0.28189999999999998</v>
          </cell>
          <cell r="L13">
            <v>1.7500000000000002E-2</v>
          </cell>
          <cell r="Q13">
            <v>8.5000000000000006E-3</v>
          </cell>
          <cell r="R13">
            <v>0.30790000000000001</v>
          </cell>
          <cell r="T13">
            <v>0.32969999999999999</v>
          </cell>
          <cell r="U13">
            <v>1.7500000000000002E-2</v>
          </cell>
          <cell r="Z13">
            <v>8.5000000000000006E-3</v>
          </cell>
          <cell r="AA13">
            <v>0.35570000000000002</v>
          </cell>
          <cell r="AC13">
            <v>0.26250000000000001</v>
          </cell>
          <cell r="AD13">
            <v>1.7500000000000002E-2</v>
          </cell>
          <cell r="AI13">
            <v>8.5000000000000006E-3</v>
          </cell>
          <cell r="AJ13">
            <v>0.28850000000000003</v>
          </cell>
        </row>
        <row r="14">
          <cell r="A14">
            <v>35247</v>
          </cell>
          <cell r="B14">
            <v>0.25729999999999997</v>
          </cell>
          <cell r="C14">
            <v>1.7500000000000002E-2</v>
          </cell>
          <cell r="D14">
            <v>-1.4999999999999999E-2</v>
          </cell>
          <cell r="E14">
            <v>2.2000000000000001E-3</v>
          </cell>
          <cell r="F14">
            <v>-1E-4</v>
          </cell>
          <cell r="G14">
            <v>-1.1999999999999999E-3</v>
          </cell>
          <cell r="H14">
            <v>8.5000000000000006E-3</v>
          </cell>
          <cell r="I14">
            <v>0.26919999999999999</v>
          </cell>
          <cell r="K14">
            <v>0.29480000000000001</v>
          </cell>
          <cell r="L14">
            <v>1.7500000000000002E-2</v>
          </cell>
          <cell r="M14">
            <v>-1.4999999999999999E-2</v>
          </cell>
          <cell r="N14">
            <v>2.2000000000000001E-3</v>
          </cell>
          <cell r="O14">
            <v>-1E-4</v>
          </cell>
          <cell r="P14">
            <v>-1.1999999999999999E-3</v>
          </cell>
          <cell r="Q14">
            <v>8.5000000000000006E-3</v>
          </cell>
          <cell r="R14">
            <v>0.30670000000000003</v>
          </cell>
          <cell r="T14">
            <v>0.34260000000000002</v>
          </cell>
          <cell r="U14">
            <v>1.7500000000000002E-2</v>
          </cell>
          <cell r="V14">
            <v>-1.4999999999999999E-2</v>
          </cell>
          <cell r="W14">
            <v>2.2000000000000001E-3</v>
          </cell>
          <cell r="X14">
            <v>-1E-4</v>
          </cell>
          <cell r="Y14">
            <v>-1.1999999999999999E-3</v>
          </cell>
          <cell r="Z14">
            <v>8.5000000000000006E-3</v>
          </cell>
          <cell r="AA14">
            <v>0.35450000000000004</v>
          </cell>
          <cell r="AC14">
            <v>0.27539999999999998</v>
          </cell>
          <cell r="AD14">
            <v>1.7500000000000002E-2</v>
          </cell>
          <cell r="AE14">
            <v>-1.4999999999999999E-2</v>
          </cell>
          <cell r="AF14">
            <v>2.2000000000000001E-3</v>
          </cell>
          <cell r="AG14">
            <v>-1E-4</v>
          </cell>
          <cell r="AH14">
            <v>-1.1999999999999999E-3</v>
          </cell>
          <cell r="AI14">
            <v>8.5000000000000006E-3</v>
          </cell>
          <cell r="AJ14">
            <v>0.2873</v>
          </cell>
        </row>
        <row r="15">
          <cell r="A15">
            <v>35309</v>
          </cell>
          <cell r="B15">
            <v>0.25729999999999997</v>
          </cell>
          <cell r="C15">
            <v>1.7500000000000002E-2</v>
          </cell>
          <cell r="D15">
            <v>-1.8100000000000002E-2</v>
          </cell>
          <cell r="E15">
            <v>-9.4000000000000004E-3</v>
          </cell>
          <cell r="F15">
            <v>-1E-4</v>
          </cell>
          <cell r="G15">
            <v>-1.1999999999999999E-3</v>
          </cell>
          <cell r="H15">
            <v>8.5000000000000006E-3</v>
          </cell>
          <cell r="I15">
            <v>0.2545</v>
          </cell>
          <cell r="K15">
            <v>0.29480000000000001</v>
          </cell>
          <cell r="L15">
            <v>1.7500000000000002E-2</v>
          </cell>
          <cell r="M15">
            <v>-1.8100000000000002E-2</v>
          </cell>
          <cell r="N15">
            <v>-9.4000000000000004E-3</v>
          </cell>
          <cell r="O15">
            <v>-1E-4</v>
          </cell>
          <cell r="P15">
            <v>-1.1999999999999999E-3</v>
          </cell>
          <cell r="Q15">
            <v>8.5000000000000006E-3</v>
          </cell>
          <cell r="R15">
            <v>0.29200000000000004</v>
          </cell>
          <cell r="T15">
            <v>0.34260000000000002</v>
          </cell>
          <cell r="U15">
            <v>1.7500000000000002E-2</v>
          </cell>
          <cell r="V15">
            <v>-1.8100000000000002E-2</v>
          </cell>
          <cell r="W15">
            <v>-9.4000000000000004E-3</v>
          </cell>
          <cell r="X15">
            <v>-1E-4</v>
          </cell>
          <cell r="Y15">
            <v>-1.1999999999999999E-3</v>
          </cell>
          <cell r="Z15">
            <v>8.5000000000000006E-3</v>
          </cell>
          <cell r="AA15">
            <v>0.33980000000000005</v>
          </cell>
          <cell r="AC15">
            <v>0.27539999999999998</v>
          </cell>
          <cell r="AD15">
            <v>1.7500000000000002E-2</v>
          </cell>
          <cell r="AE15">
            <v>-1.8100000000000002E-2</v>
          </cell>
          <cell r="AF15">
            <v>-9.4000000000000004E-3</v>
          </cell>
          <cell r="AG15">
            <v>-1E-4</v>
          </cell>
          <cell r="AH15">
            <v>-1.1999999999999999E-3</v>
          </cell>
          <cell r="AI15">
            <v>8.5000000000000006E-3</v>
          </cell>
          <cell r="AJ15">
            <v>0.27260000000000001</v>
          </cell>
        </row>
        <row r="16">
          <cell r="A16">
            <v>35462</v>
          </cell>
          <cell r="B16">
            <v>0.25729999999999997</v>
          </cell>
          <cell r="C16">
            <v>1.7500000000000002E-2</v>
          </cell>
          <cell r="D16">
            <v>-1.8100000000000002E-2</v>
          </cell>
          <cell r="E16">
            <v>-9.4000000000000004E-3</v>
          </cell>
          <cell r="G16">
            <v>-1.1999999999999999E-3</v>
          </cell>
          <cell r="H16">
            <v>8.5000000000000006E-3</v>
          </cell>
          <cell r="I16">
            <v>0.25459999999999999</v>
          </cell>
          <cell r="K16">
            <v>0.29480000000000001</v>
          </cell>
          <cell r="L16">
            <v>1.7500000000000002E-2</v>
          </cell>
          <cell r="M16">
            <v>-1.8100000000000002E-2</v>
          </cell>
          <cell r="N16">
            <v>-9.4000000000000004E-3</v>
          </cell>
          <cell r="P16">
            <v>-1.1999999999999999E-3</v>
          </cell>
          <cell r="Q16">
            <v>8.5000000000000006E-3</v>
          </cell>
          <cell r="R16">
            <v>0.29210000000000003</v>
          </cell>
          <cell r="T16">
            <v>0.34260000000000002</v>
          </cell>
          <cell r="U16">
            <v>1.7500000000000002E-2</v>
          </cell>
          <cell r="V16">
            <v>-1.8100000000000002E-2</v>
          </cell>
          <cell r="W16">
            <v>-9.4000000000000004E-3</v>
          </cell>
          <cell r="Y16">
            <v>-1.1999999999999999E-3</v>
          </cell>
          <cell r="Z16">
            <v>8.5000000000000006E-3</v>
          </cell>
          <cell r="AA16">
            <v>0.33990000000000004</v>
          </cell>
          <cell r="AC16">
            <v>0.27539999999999998</v>
          </cell>
          <cell r="AD16">
            <v>1.7500000000000002E-2</v>
          </cell>
          <cell r="AE16">
            <v>-1.8100000000000002E-2</v>
          </cell>
          <cell r="AF16">
            <v>-9.4000000000000004E-3</v>
          </cell>
          <cell r="AH16">
            <v>-1.1999999999999999E-3</v>
          </cell>
          <cell r="AI16">
            <v>8.5000000000000006E-3</v>
          </cell>
          <cell r="AJ16">
            <v>0.2727</v>
          </cell>
        </row>
        <row r="17">
          <cell r="A17">
            <v>35490</v>
          </cell>
          <cell r="B17">
            <v>0.25729999999999997</v>
          </cell>
          <cell r="C17">
            <v>1.7500000000000002E-2</v>
          </cell>
          <cell r="D17">
            <v>-1.7999999999999999E-2</v>
          </cell>
          <cell r="E17">
            <v>3.8E-3</v>
          </cell>
          <cell r="G17">
            <v>-1.1999999999999999E-3</v>
          </cell>
          <cell r="H17">
            <v>8.5000000000000006E-3</v>
          </cell>
          <cell r="I17">
            <v>0.26790000000000003</v>
          </cell>
          <cell r="K17">
            <v>0.29480000000000001</v>
          </cell>
          <cell r="L17">
            <v>1.7500000000000002E-2</v>
          </cell>
          <cell r="M17">
            <v>-1.7999999999999999E-2</v>
          </cell>
          <cell r="N17">
            <v>3.8E-3</v>
          </cell>
          <cell r="P17">
            <v>-1.1999999999999999E-3</v>
          </cell>
          <cell r="Q17">
            <v>8.5000000000000006E-3</v>
          </cell>
          <cell r="R17">
            <v>0.30540000000000006</v>
          </cell>
          <cell r="T17">
            <v>0.34260000000000002</v>
          </cell>
          <cell r="U17">
            <v>1.7500000000000002E-2</v>
          </cell>
          <cell r="V17">
            <v>-1.7999999999999999E-2</v>
          </cell>
          <cell r="W17">
            <v>3.8E-3</v>
          </cell>
          <cell r="Y17">
            <v>-1.1999999999999999E-3</v>
          </cell>
          <cell r="Z17">
            <v>8.5000000000000006E-3</v>
          </cell>
          <cell r="AA17">
            <v>0.35320000000000007</v>
          </cell>
          <cell r="AC17">
            <v>0.27539999999999998</v>
          </cell>
          <cell r="AD17">
            <v>1.7500000000000002E-2</v>
          </cell>
          <cell r="AE17">
            <v>-1.7999999999999999E-2</v>
          </cell>
          <cell r="AF17">
            <v>3.8E-3</v>
          </cell>
          <cell r="AH17">
            <v>-1.1999999999999999E-3</v>
          </cell>
          <cell r="AI17">
            <v>8.5000000000000006E-3</v>
          </cell>
          <cell r="AJ17">
            <v>0.28600000000000003</v>
          </cell>
        </row>
        <row r="18">
          <cell r="A18">
            <v>35612</v>
          </cell>
          <cell r="B18">
            <v>0.25729999999999997</v>
          </cell>
          <cell r="C18">
            <v>1.7500000000000002E-2</v>
          </cell>
          <cell r="D18">
            <v>-1.7999999999999999E-2</v>
          </cell>
          <cell r="E18">
            <v>3.8E-3</v>
          </cell>
          <cell r="F18">
            <v>-1E-4</v>
          </cell>
          <cell r="G18">
            <v>-1.1999999999999999E-3</v>
          </cell>
          <cell r="H18">
            <v>8.5000000000000006E-3</v>
          </cell>
          <cell r="I18">
            <v>0.26780000000000004</v>
          </cell>
          <cell r="K18">
            <v>0.29480000000000001</v>
          </cell>
          <cell r="L18">
            <v>1.7500000000000002E-2</v>
          </cell>
          <cell r="M18">
            <v>-1.7999999999999999E-2</v>
          </cell>
          <cell r="N18">
            <v>3.8E-3</v>
          </cell>
          <cell r="O18">
            <v>-1E-4</v>
          </cell>
          <cell r="P18">
            <v>-1.1999999999999999E-3</v>
          </cell>
          <cell r="Q18">
            <v>8.5000000000000006E-3</v>
          </cell>
          <cell r="R18">
            <v>0.30530000000000007</v>
          </cell>
          <cell r="T18">
            <v>0.34260000000000002</v>
          </cell>
          <cell r="U18">
            <v>1.7500000000000002E-2</v>
          </cell>
          <cell r="V18">
            <v>-1.7999999999999999E-2</v>
          </cell>
          <cell r="W18">
            <v>3.8E-3</v>
          </cell>
          <cell r="X18">
            <v>-1E-4</v>
          </cell>
          <cell r="Y18">
            <v>-1.1999999999999999E-3</v>
          </cell>
          <cell r="Z18">
            <v>8.5000000000000006E-3</v>
          </cell>
          <cell r="AA18">
            <v>0.35310000000000008</v>
          </cell>
          <cell r="AC18">
            <v>0.27539999999999998</v>
          </cell>
          <cell r="AD18">
            <v>1.7500000000000002E-2</v>
          </cell>
          <cell r="AE18">
            <v>-1.7999999999999999E-2</v>
          </cell>
          <cell r="AF18">
            <v>3.8E-3</v>
          </cell>
          <cell r="AG18">
            <v>-1E-4</v>
          </cell>
          <cell r="AH18">
            <v>-1.1999999999999999E-3</v>
          </cell>
          <cell r="AI18">
            <v>8.5000000000000006E-3</v>
          </cell>
          <cell r="AJ18">
            <v>0.28590000000000004</v>
          </cell>
        </row>
        <row r="19">
          <cell r="A19">
            <v>35735</v>
          </cell>
          <cell r="B19">
            <v>0.30230000000000001</v>
          </cell>
          <cell r="C19">
            <v>1.7500000000000002E-2</v>
          </cell>
          <cell r="G19">
            <v>-1.1999999999999999E-3</v>
          </cell>
          <cell r="H19">
            <v>8.5000000000000006E-3</v>
          </cell>
          <cell r="I19">
            <v>0.32710000000000006</v>
          </cell>
          <cell r="K19">
            <v>0.35339999999999999</v>
          </cell>
          <cell r="L19">
            <v>1.7500000000000002E-2</v>
          </cell>
          <cell r="P19">
            <v>-1.1999999999999999E-3</v>
          </cell>
          <cell r="Q19">
            <v>8.5000000000000006E-3</v>
          </cell>
          <cell r="R19">
            <v>0.37820000000000004</v>
          </cell>
          <cell r="T19">
            <v>0.4138</v>
          </cell>
          <cell r="U19">
            <v>1.7500000000000002E-2</v>
          </cell>
          <cell r="Y19">
            <v>-1.1999999999999999E-3</v>
          </cell>
          <cell r="Z19">
            <v>8.5000000000000006E-3</v>
          </cell>
          <cell r="AA19">
            <v>0.43860000000000005</v>
          </cell>
          <cell r="AC19">
            <v>0.3392</v>
          </cell>
          <cell r="AD19">
            <v>1.7500000000000002E-2</v>
          </cell>
          <cell r="AH19">
            <v>-1.1999999999999999E-3</v>
          </cell>
          <cell r="AI19">
            <v>8.5000000000000006E-3</v>
          </cell>
          <cell r="AJ19">
            <v>0.36400000000000005</v>
          </cell>
        </row>
        <row r="20">
          <cell r="A20">
            <v>35796</v>
          </cell>
          <cell r="B20">
            <v>0.26</v>
          </cell>
          <cell r="C20">
            <v>0</v>
          </cell>
          <cell r="F20">
            <v>-1E-4</v>
          </cell>
          <cell r="G20">
            <v>-1.1999999999999999E-3</v>
          </cell>
          <cell r="H20">
            <v>8.5000000000000006E-3</v>
          </cell>
          <cell r="I20">
            <v>0.26720000000000005</v>
          </cell>
          <cell r="K20">
            <v>0.30499999999999999</v>
          </cell>
          <cell r="L20">
            <v>0</v>
          </cell>
          <cell r="O20">
            <v>-1E-4</v>
          </cell>
          <cell r="P20">
            <v>-1.1999999999999999E-3</v>
          </cell>
          <cell r="Q20">
            <v>8.5000000000000006E-3</v>
          </cell>
          <cell r="R20">
            <v>0.31220000000000003</v>
          </cell>
          <cell r="T20">
            <v>0.33500000000000002</v>
          </cell>
          <cell r="U20">
            <v>0</v>
          </cell>
          <cell r="X20">
            <v>-1E-4</v>
          </cell>
          <cell r="Y20">
            <v>-1.1999999999999999E-3</v>
          </cell>
          <cell r="Z20">
            <v>8.5000000000000006E-3</v>
          </cell>
          <cell r="AA20">
            <v>0.34220000000000006</v>
          </cell>
          <cell r="AC20">
            <v>0.29249999999999998</v>
          </cell>
          <cell r="AD20">
            <v>0</v>
          </cell>
          <cell r="AG20">
            <v>-1E-4</v>
          </cell>
          <cell r="AH20">
            <v>-1.1999999999999999E-3</v>
          </cell>
          <cell r="AI20">
            <v>8.5000000000000006E-3</v>
          </cell>
          <cell r="AJ20">
            <v>0.29970000000000002</v>
          </cell>
        </row>
        <row r="21">
          <cell r="A21">
            <v>35827</v>
          </cell>
          <cell r="B21">
            <v>0.26</v>
          </cell>
          <cell r="C21">
            <v>0</v>
          </cell>
          <cell r="F21">
            <v>-8.0000000000000004E-4</v>
          </cell>
          <cell r="G21">
            <v>-1.2999999999999999E-3</v>
          </cell>
          <cell r="H21">
            <v>8.5000000000000006E-3</v>
          </cell>
          <cell r="I21">
            <v>0.26639999999999997</v>
          </cell>
          <cell r="K21">
            <v>0.30499999999999999</v>
          </cell>
          <cell r="L21">
            <v>0</v>
          </cell>
          <cell r="O21">
            <v>-8.0000000000000004E-4</v>
          </cell>
          <cell r="P21">
            <v>-1.2999999999999999E-3</v>
          </cell>
          <cell r="Q21">
            <v>8.5000000000000006E-3</v>
          </cell>
          <cell r="R21">
            <v>0.31139999999999995</v>
          </cell>
          <cell r="T21">
            <v>0.33500000000000002</v>
          </cell>
          <cell r="U21">
            <v>0</v>
          </cell>
          <cell r="X21">
            <v>-8.0000000000000004E-4</v>
          </cell>
          <cell r="Y21">
            <v>-1.2999999999999999E-3</v>
          </cell>
          <cell r="Z21">
            <v>8.5000000000000006E-3</v>
          </cell>
          <cell r="AA21">
            <v>0.34139999999999998</v>
          </cell>
          <cell r="AC21">
            <v>0.29249999999999998</v>
          </cell>
          <cell r="AD21">
            <v>0</v>
          </cell>
          <cell r="AG21">
            <v>-8.0000000000000004E-4</v>
          </cell>
          <cell r="AH21">
            <v>-1.2999999999999999E-3</v>
          </cell>
          <cell r="AI21">
            <v>8.5000000000000006E-3</v>
          </cell>
          <cell r="AJ21">
            <v>0.29889999999999994</v>
          </cell>
        </row>
        <row r="22">
          <cell r="A22">
            <v>35947</v>
          </cell>
          <cell r="B22">
            <v>0.21729999999999999</v>
          </cell>
          <cell r="C22">
            <v>0</v>
          </cell>
          <cell r="F22">
            <v>-8.0000000000000004E-4</v>
          </cell>
          <cell r="G22">
            <v>-1.2999999999999999E-3</v>
          </cell>
          <cell r="H22">
            <v>8.5000000000000006E-3</v>
          </cell>
          <cell r="I22">
            <v>0.22370000000000001</v>
          </cell>
          <cell r="K22">
            <v>0.25800000000000001</v>
          </cell>
          <cell r="L22">
            <v>0</v>
          </cell>
          <cell r="O22">
            <v>-8.0000000000000004E-4</v>
          </cell>
          <cell r="P22">
            <v>-1.2999999999999999E-3</v>
          </cell>
          <cell r="Q22">
            <v>8.5000000000000006E-3</v>
          </cell>
          <cell r="R22">
            <v>0.26439999999999997</v>
          </cell>
          <cell r="T22">
            <v>0.31119999999999998</v>
          </cell>
          <cell r="U22">
            <v>0</v>
          </cell>
          <cell r="X22">
            <v>-8.0000000000000004E-4</v>
          </cell>
          <cell r="Y22">
            <v>-1.2999999999999999E-3</v>
          </cell>
          <cell r="Z22">
            <v>8.5000000000000006E-3</v>
          </cell>
          <cell r="AA22">
            <v>0.31759999999999994</v>
          </cell>
          <cell r="AC22">
            <v>0.24990000000000001</v>
          </cell>
          <cell r="AD22">
            <v>0</v>
          </cell>
          <cell r="AG22">
            <v>-8.0000000000000004E-4</v>
          </cell>
          <cell r="AH22">
            <v>-1.2999999999999999E-3</v>
          </cell>
          <cell r="AI22">
            <v>8.5000000000000006E-3</v>
          </cell>
          <cell r="AJ22">
            <v>0.25630000000000003</v>
          </cell>
        </row>
        <row r="23">
          <cell r="A23">
            <v>35977</v>
          </cell>
          <cell r="B23">
            <v>0.2122</v>
          </cell>
          <cell r="C23">
            <v>0</v>
          </cell>
          <cell r="F23">
            <v>-6.9999999999999999E-4</v>
          </cell>
          <cell r="G23">
            <v>-1E-4</v>
          </cell>
          <cell r="H23">
            <v>8.5000000000000006E-3</v>
          </cell>
          <cell r="I23">
            <v>0.21990000000000001</v>
          </cell>
          <cell r="K23">
            <v>0.25290000000000001</v>
          </cell>
          <cell r="L23">
            <v>0</v>
          </cell>
          <cell r="O23">
            <v>-6.9999999999999999E-4</v>
          </cell>
          <cell r="P23">
            <v>-1E-4</v>
          </cell>
          <cell r="Q23">
            <v>8.5000000000000006E-3</v>
          </cell>
          <cell r="R23">
            <v>0.26060000000000005</v>
          </cell>
          <cell r="T23">
            <v>0.30609999999999998</v>
          </cell>
          <cell r="U23">
            <v>0</v>
          </cell>
          <cell r="X23">
            <v>-6.9999999999999999E-4</v>
          </cell>
          <cell r="Y23">
            <v>-1E-4</v>
          </cell>
          <cell r="Z23">
            <v>8.5000000000000006E-3</v>
          </cell>
          <cell r="AA23">
            <v>0.31380000000000002</v>
          </cell>
          <cell r="AC23">
            <v>0.24479999999999999</v>
          </cell>
          <cell r="AD23">
            <v>0</v>
          </cell>
          <cell r="AG23">
            <v>-6.9999999999999999E-4</v>
          </cell>
          <cell r="AH23">
            <v>-1E-4</v>
          </cell>
          <cell r="AI23">
            <v>8.5000000000000006E-3</v>
          </cell>
          <cell r="AJ23">
            <v>0.2525</v>
          </cell>
        </row>
        <row r="24">
          <cell r="A24">
            <v>36192</v>
          </cell>
          <cell r="B24">
            <v>0.2122</v>
          </cell>
          <cell r="C24">
            <v>0</v>
          </cell>
          <cell r="F24">
            <v>0</v>
          </cell>
          <cell r="G24">
            <v>-1E-3</v>
          </cell>
          <cell r="H24">
            <v>7.6E-3</v>
          </cell>
          <cell r="I24">
            <v>0.21879999999999999</v>
          </cell>
          <cell r="K24">
            <v>0.25290000000000001</v>
          </cell>
          <cell r="L24">
            <v>0</v>
          </cell>
          <cell r="O24">
            <v>0</v>
          </cell>
          <cell r="P24">
            <v>-1E-3</v>
          </cell>
          <cell r="Q24">
            <v>7.6E-3</v>
          </cell>
          <cell r="R24">
            <v>0.25950000000000001</v>
          </cell>
          <cell r="T24">
            <v>0.30430000000000001</v>
          </cell>
          <cell r="U24">
            <v>0</v>
          </cell>
          <cell r="X24">
            <v>0</v>
          </cell>
          <cell r="Y24">
            <v>-1E-3</v>
          </cell>
          <cell r="Z24">
            <v>7.6E-3</v>
          </cell>
          <cell r="AA24">
            <v>0.31090000000000001</v>
          </cell>
          <cell r="AC24">
            <v>0.22270000000000001</v>
          </cell>
          <cell r="AD24">
            <v>0</v>
          </cell>
          <cell r="AG24">
            <v>0</v>
          </cell>
          <cell r="AH24">
            <v>-1E-3</v>
          </cell>
          <cell r="AI24">
            <v>7.6E-3</v>
          </cell>
          <cell r="AJ24">
            <v>0.2293</v>
          </cell>
        </row>
        <row r="25">
          <cell r="A25">
            <v>36831</v>
          </cell>
          <cell r="B25">
            <v>0.2097</v>
          </cell>
          <cell r="C25">
            <v>0</v>
          </cell>
          <cell r="F25">
            <v>0</v>
          </cell>
          <cell r="G25">
            <v>0</v>
          </cell>
          <cell r="H25">
            <v>6.6E-3</v>
          </cell>
          <cell r="I25">
            <v>0.21629999999999999</v>
          </cell>
          <cell r="K25">
            <v>0.25040000000000001</v>
          </cell>
          <cell r="L25">
            <v>0</v>
          </cell>
          <cell r="O25">
            <v>0</v>
          </cell>
          <cell r="P25">
            <v>0</v>
          </cell>
          <cell r="Q25">
            <v>6.6E-3</v>
          </cell>
          <cell r="R25">
            <v>0.25700000000000001</v>
          </cell>
          <cell r="T25">
            <v>0.30180000000000001</v>
          </cell>
          <cell r="U25">
            <v>0</v>
          </cell>
          <cell r="X25">
            <v>0</v>
          </cell>
          <cell r="Y25">
            <v>0</v>
          </cell>
          <cell r="Z25">
            <v>6.6E-3</v>
          </cell>
          <cell r="AA25">
            <v>0.30840000000000001</v>
          </cell>
          <cell r="AC25">
            <v>0.22020000000000001</v>
          </cell>
          <cell r="AD25">
            <v>0</v>
          </cell>
          <cell r="AG25">
            <v>0</v>
          </cell>
          <cell r="AH25">
            <v>0</v>
          </cell>
          <cell r="AI25">
            <v>6.6E-3</v>
          </cell>
          <cell r="AJ25">
            <v>0.2268</v>
          </cell>
        </row>
        <row r="26">
          <cell r="A26">
            <v>36923</v>
          </cell>
          <cell r="B26">
            <v>0.2838</v>
          </cell>
          <cell r="C26">
            <v>0</v>
          </cell>
          <cell r="F26">
            <v>0</v>
          </cell>
          <cell r="G26">
            <v>0</v>
          </cell>
          <cell r="H26">
            <v>6.6E-3</v>
          </cell>
          <cell r="I26">
            <v>0.29039999999999999</v>
          </cell>
          <cell r="K26">
            <v>0.34370000000000001</v>
          </cell>
          <cell r="L26">
            <v>0</v>
          </cell>
          <cell r="O26">
            <v>0</v>
          </cell>
          <cell r="P26">
            <v>0</v>
          </cell>
          <cell r="Q26">
            <v>6.6E-3</v>
          </cell>
          <cell r="R26">
            <v>0.3503</v>
          </cell>
          <cell r="T26">
            <v>0.41749999999999998</v>
          </cell>
          <cell r="U26">
            <v>0</v>
          </cell>
          <cell r="X26">
            <v>0</v>
          </cell>
          <cell r="Y26">
            <v>0</v>
          </cell>
          <cell r="Z26">
            <v>6.6E-3</v>
          </cell>
          <cell r="AA26">
            <v>0.42409999999999998</v>
          </cell>
          <cell r="AC26">
            <v>0.31369999999999998</v>
          </cell>
          <cell r="AD26">
            <v>0</v>
          </cell>
          <cell r="AG26">
            <v>0</v>
          </cell>
          <cell r="AH26">
            <v>0</v>
          </cell>
          <cell r="AI26">
            <v>6.6E-3</v>
          </cell>
          <cell r="AJ26">
            <v>0.32029999999999997</v>
          </cell>
        </row>
        <row r="27">
          <cell r="A27">
            <v>37012</v>
          </cell>
          <cell r="B27">
            <v>0.245</v>
          </cell>
          <cell r="C27">
            <v>0</v>
          </cell>
          <cell r="F27">
            <v>0</v>
          </cell>
          <cell r="G27">
            <v>0</v>
          </cell>
          <cell r="H27">
            <v>3.0000000000000001E-3</v>
          </cell>
          <cell r="I27">
            <v>0.248</v>
          </cell>
          <cell r="K27">
            <v>0.28999999999999998</v>
          </cell>
          <cell r="L27">
            <v>0</v>
          </cell>
          <cell r="O27">
            <v>0</v>
          </cell>
          <cell r="P27">
            <v>0</v>
          </cell>
          <cell r="Q27">
            <v>3.0000000000000001E-3</v>
          </cell>
          <cell r="R27">
            <v>0.29299999999999998</v>
          </cell>
          <cell r="T27">
            <v>0.35</v>
          </cell>
          <cell r="U27">
            <v>0</v>
          </cell>
          <cell r="X27">
            <v>0</v>
          </cell>
          <cell r="Y27">
            <v>0</v>
          </cell>
          <cell r="Z27">
            <v>3.0000000000000001E-3</v>
          </cell>
          <cell r="AA27">
            <v>0.35299999999999998</v>
          </cell>
          <cell r="AC27">
            <v>0.26</v>
          </cell>
          <cell r="AD27">
            <v>0</v>
          </cell>
          <cell r="AG27">
            <v>0</v>
          </cell>
          <cell r="AH27">
            <v>0</v>
          </cell>
          <cell r="AI27">
            <v>3.0000000000000001E-3</v>
          </cell>
          <cell r="AJ27">
            <v>0.26300000000000001</v>
          </cell>
        </row>
        <row r="28">
          <cell r="A28">
            <v>37561</v>
          </cell>
          <cell r="B28">
            <v>0.21229999999999999</v>
          </cell>
          <cell r="C28">
            <v>0</v>
          </cell>
          <cell r="F28">
            <v>0</v>
          </cell>
          <cell r="G28">
            <v>0</v>
          </cell>
          <cell r="H28">
            <v>2.2000000000000001E-3</v>
          </cell>
          <cell r="I28">
            <v>0.2145</v>
          </cell>
          <cell r="K28">
            <v>0.25369999999999998</v>
          </cell>
          <cell r="L28">
            <v>0</v>
          </cell>
          <cell r="O28">
            <v>0</v>
          </cell>
          <cell r="P28">
            <v>0</v>
          </cell>
          <cell r="Q28">
            <v>2.2000000000000001E-3</v>
          </cell>
          <cell r="R28">
            <v>0.25589999999999996</v>
          </cell>
          <cell r="T28">
            <v>0.30599999999999999</v>
          </cell>
          <cell r="U28">
            <v>0</v>
          </cell>
          <cell r="X28">
            <v>0</v>
          </cell>
          <cell r="Y28">
            <v>0</v>
          </cell>
          <cell r="Z28">
            <v>2.2000000000000001E-3</v>
          </cell>
          <cell r="AA28">
            <v>0.30819999999999997</v>
          </cell>
          <cell r="AC28">
            <v>0.22270000000000001</v>
          </cell>
          <cell r="AD28">
            <v>0</v>
          </cell>
          <cell r="AG28">
            <v>0</v>
          </cell>
          <cell r="AH28">
            <v>0</v>
          </cell>
          <cell r="AI28">
            <v>2.2000000000000001E-3</v>
          </cell>
          <cell r="AJ28">
            <v>0.22490000000000002</v>
          </cell>
        </row>
        <row r="29">
          <cell r="A29">
            <v>37834</v>
          </cell>
          <cell r="B29">
            <v>0.20569999999999999</v>
          </cell>
          <cell r="C29">
            <v>0</v>
          </cell>
          <cell r="F29">
            <v>0</v>
          </cell>
          <cell r="G29">
            <v>0</v>
          </cell>
          <cell r="H29">
            <v>1.6000000000000001E-3</v>
          </cell>
          <cell r="I29">
            <v>0.20729999999999998</v>
          </cell>
          <cell r="K29">
            <v>0.24709999999999999</v>
          </cell>
          <cell r="L29">
            <v>0</v>
          </cell>
          <cell r="O29">
            <v>0</v>
          </cell>
          <cell r="P29">
            <v>0</v>
          </cell>
          <cell r="Q29">
            <v>1.6000000000000001E-3</v>
          </cell>
          <cell r="R29">
            <v>0.24869999999999998</v>
          </cell>
          <cell r="T29">
            <v>0.2994</v>
          </cell>
          <cell r="U29">
            <v>0</v>
          </cell>
          <cell r="X29">
            <v>0</v>
          </cell>
          <cell r="Y29">
            <v>0</v>
          </cell>
          <cell r="Z29">
            <v>1.6000000000000001E-3</v>
          </cell>
          <cell r="AA29">
            <v>0.30099999999999999</v>
          </cell>
          <cell r="AC29">
            <v>0.21609999999999999</v>
          </cell>
          <cell r="AD29">
            <v>0</v>
          </cell>
          <cell r="AG29">
            <v>0</v>
          </cell>
          <cell r="AH29">
            <v>0</v>
          </cell>
          <cell r="AI29">
            <v>1.6000000000000001E-3</v>
          </cell>
          <cell r="AJ29">
            <v>0.21769999999999998</v>
          </cell>
        </row>
        <row r="30">
          <cell r="A30">
            <v>38200</v>
          </cell>
          <cell r="B30">
            <v>0.20569999999999999</v>
          </cell>
          <cell r="H30">
            <v>0</v>
          </cell>
          <cell r="I30">
            <v>0.20569999999999999</v>
          </cell>
          <cell r="K30">
            <v>0.24709999999999999</v>
          </cell>
          <cell r="Q30">
            <v>0</v>
          </cell>
          <cell r="R30">
            <v>0.24709999999999999</v>
          </cell>
          <cell r="T30">
            <v>0.2994</v>
          </cell>
          <cell r="Z30">
            <v>0</v>
          </cell>
          <cell r="AA30">
            <v>0.2994</v>
          </cell>
          <cell r="AC30">
            <v>0.21609999999999999</v>
          </cell>
          <cell r="AI30">
            <v>0</v>
          </cell>
          <cell r="AJ30">
            <v>0.21609999999999999</v>
          </cell>
        </row>
        <row r="31">
          <cell r="A31">
            <v>38384</v>
          </cell>
          <cell r="B31">
            <v>0.20569999999999999</v>
          </cell>
          <cell r="H31">
            <v>0</v>
          </cell>
          <cell r="I31">
            <v>0.20569999999999999</v>
          </cell>
          <cell r="K31">
            <v>0.24709999999999999</v>
          </cell>
          <cell r="Q31">
            <v>0</v>
          </cell>
          <cell r="R31">
            <v>0.24709999999999999</v>
          </cell>
          <cell r="T31">
            <v>0.2994</v>
          </cell>
          <cell r="Z31">
            <v>0</v>
          </cell>
          <cell r="AA31">
            <v>0.2994</v>
          </cell>
          <cell r="AC31">
            <v>0.21609999999999999</v>
          </cell>
          <cell r="AI31">
            <v>0</v>
          </cell>
          <cell r="AJ31">
            <v>0.21609999999999999</v>
          </cell>
        </row>
        <row r="32">
          <cell r="A32">
            <v>38473</v>
          </cell>
          <cell r="B32">
            <v>0.20569999999999999</v>
          </cell>
          <cell r="H32">
            <v>0</v>
          </cell>
          <cell r="I32">
            <v>0.20569999999999999</v>
          </cell>
          <cell r="K32">
            <v>0.24709999999999999</v>
          </cell>
          <cell r="Q32">
            <v>0</v>
          </cell>
          <cell r="R32">
            <v>0.24709999999999999</v>
          </cell>
          <cell r="T32">
            <v>0.2994</v>
          </cell>
          <cell r="Z32">
            <v>0</v>
          </cell>
          <cell r="AA32">
            <v>0.2994</v>
          </cell>
          <cell r="AC32">
            <v>0.21609999999999999</v>
          </cell>
          <cell r="AI32">
            <v>0</v>
          </cell>
          <cell r="AJ32">
            <v>0.21609999999999999</v>
          </cell>
        </row>
        <row r="33">
          <cell r="A33">
            <v>38687</v>
          </cell>
          <cell r="B33">
            <v>0.26229999999999998</v>
          </cell>
          <cell r="H33">
            <v>0</v>
          </cell>
          <cell r="I33">
            <v>0.26229999999999998</v>
          </cell>
          <cell r="K33">
            <v>0.3125</v>
          </cell>
          <cell r="Q33">
            <v>0</v>
          </cell>
          <cell r="R33">
            <v>0.3125</v>
          </cell>
          <cell r="T33">
            <v>0.37380000000000002</v>
          </cell>
          <cell r="Z33">
            <v>0</v>
          </cell>
          <cell r="AA33">
            <v>0.37380000000000002</v>
          </cell>
          <cell r="AC33">
            <v>0.28249999999999997</v>
          </cell>
          <cell r="AI33">
            <v>0</v>
          </cell>
          <cell r="AJ33">
            <v>0.28249999999999997</v>
          </cell>
        </row>
        <row r="34">
          <cell r="A34">
            <v>38838</v>
          </cell>
          <cell r="B34">
            <v>0.21199999999999999</v>
          </cell>
          <cell r="H34">
            <v>0</v>
          </cell>
          <cell r="I34">
            <v>0.21199999999999999</v>
          </cell>
          <cell r="K34">
            <v>0.24940000000000001</v>
          </cell>
          <cell r="Q34">
            <v>0</v>
          </cell>
          <cell r="R34">
            <v>0.24940000000000001</v>
          </cell>
          <cell r="T34">
            <v>0.31419999999999998</v>
          </cell>
          <cell r="Z34">
            <v>0</v>
          </cell>
          <cell r="AA34">
            <v>0.31419999999999998</v>
          </cell>
          <cell r="AC34">
            <v>0.21940000000000001</v>
          </cell>
          <cell r="AI34">
            <v>0</v>
          </cell>
          <cell r="AJ34">
            <v>0.21940000000000001</v>
          </cell>
        </row>
        <row r="35">
          <cell r="A35">
            <v>39114</v>
          </cell>
          <cell r="B35">
            <v>0.21199999999999999</v>
          </cell>
          <cell r="H35">
            <v>0</v>
          </cell>
          <cell r="I35">
            <v>0.21199999999999999</v>
          </cell>
          <cell r="K35">
            <v>0.24940000000000001</v>
          </cell>
          <cell r="Q35">
            <v>0</v>
          </cell>
          <cell r="R35">
            <v>0.24940000000000001</v>
          </cell>
          <cell r="T35">
            <v>0.31419999999999998</v>
          </cell>
          <cell r="Z35">
            <v>0</v>
          </cell>
          <cell r="AA35">
            <v>0.31419999999999998</v>
          </cell>
          <cell r="AC35">
            <v>0.21940000000000001</v>
          </cell>
          <cell r="AI35">
            <v>0</v>
          </cell>
          <cell r="AJ35">
            <v>0.21940000000000001</v>
          </cell>
        </row>
        <row r="36">
          <cell r="A36">
            <v>54789</v>
          </cell>
        </row>
      </sheetData>
      <sheetData sheetId="68">
        <row r="10">
          <cell r="A10">
            <v>34973</v>
          </cell>
          <cell r="B10">
            <v>2.7800000000000002E-2</v>
          </cell>
          <cell r="F10">
            <v>8.5000000000000006E-3</v>
          </cell>
          <cell r="G10">
            <v>2.1000000000000003E-3</v>
          </cell>
          <cell r="H10">
            <v>3.8399999999999997E-2</v>
          </cell>
          <cell r="J10">
            <v>3.3100000000000004E-2</v>
          </cell>
          <cell r="N10">
            <v>8.5000000000000006E-3</v>
          </cell>
          <cell r="O10">
            <v>2.1000000000000003E-3</v>
          </cell>
          <cell r="P10">
            <v>4.3700000000000003E-2</v>
          </cell>
          <cell r="R10">
            <v>3.6000000000000004E-2</v>
          </cell>
          <cell r="V10">
            <v>8.5000000000000006E-3</v>
          </cell>
          <cell r="W10">
            <v>2.1000000000000003E-3</v>
          </cell>
          <cell r="X10">
            <v>4.6600000000000003E-2</v>
          </cell>
          <cell r="Z10">
            <v>3.1300000000000001E-2</v>
          </cell>
          <cell r="AD10">
            <v>8.5000000000000006E-3</v>
          </cell>
          <cell r="AE10">
            <v>2.1000000000000003E-3</v>
          </cell>
          <cell r="AF10">
            <v>4.19E-2</v>
          </cell>
        </row>
        <row r="11">
          <cell r="A11">
            <v>35065</v>
          </cell>
          <cell r="B11">
            <v>2.7800000000000002E-2</v>
          </cell>
          <cell r="F11">
            <v>8.8000000000000005E-3</v>
          </cell>
          <cell r="G11">
            <v>2.1000000000000003E-3</v>
          </cell>
          <cell r="H11">
            <v>3.8699999999999998E-2</v>
          </cell>
          <cell r="J11">
            <v>3.3100000000000004E-2</v>
          </cell>
          <cell r="N11">
            <v>8.8000000000000005E-3</v>
          </cell>
          <cell r="O11">
            <v>2.1000000000000003E-3</v>
          </cell>
          <cell r="P11">
            <v>4.4000000000000004E-2</v>
          </cell>
          <cell r="R11">
            <v>3.6000000000000004E-2</v>
          </cell>
          <cell r="V11">
            <v>8.8000000000000005E-3</v>
          </cell>
          <cell r="W11">
            <v>2.1000000000000003E-3</v>
          </cell>
          <cell r="X11">
            <v>4.6900000000000004E-2</v>
          </cell>
          <cell r="Z11">
            <v>3.1300000000000001E-2</v>
          </cell>
          <cell r="AD11">
            <v>8.8000000000000005E-3</v>
          </cell>
          <cell r="AE11">
            <v>2.1000000000000003E-3</v>
          </cell>
          <cell r="AF11">
            <v>4.2200000000000001E-2</v>
          </cell>
        </row>
        <row r="12">
          <cell r="A12">
            <v>35096</v>
          </cell>
          <cell r="B12">
            <v>2.7800000000000002E-2</v>
          </cell>
          <cell r="F12">
            <v>8.8000000000000005E-3</v>
          </cell>
          <cell r="G12">
            <v>2.1000000000000003E-3</v>
          </cell>
          <cell r="H12">
            <v>3.8699999999999998E-2</v>
          </cell>
          <cell r="J12">
            <v>3.3100000000000004E-2</v>
          </cell>
          <cell r="N12">
            <v>8.8000000000000005E-3</v>
          </cell>
          <cell r="O12">
            <v>2.1000000000000003E-3</v>
          </cell>
          <cell r="P12">
            <v>4.4000000000000004E-2</v>
          </cell>
          <cell r="R12">
            <v>3.6000000000000004E-2</v>
          </cell>
          <cell r="V12">
            <v>8.8000000000000005E-3</v>
          </cell>
          <cell r="W12">
            <v>2.1000000000000003E-3</v>
          </cell>
          <cell r="X12">
            <v>4.6900000000000004E-2</v>
          </cell>
          <cell r="Z12">
            <v>3.1300000000000001E-2</v>
          </cell>
          <cell r="AD12">
            <v>8.8000000000000005E-3</v>
          </cell>
          <cell r="AE12">
            <v>2.1000000000000003E-3</v>
          </cell>
          <cell r="AF12">
            <v>4.2200000000000001E-2</v>
          </cell>
        </row>
        <row r="13">
          <cell r="A13">
            <v>35125</v>
          </cell>
          <cell r="B13">
            <v>1.41E-2</v>
          </cell>
          <cell r="F13">
            <v>8.8000000000000005E-3</v>
          </cell>
          <cell r="G13">
            <v>2.1000000000000003E-3</v>
          </cell>
          <cell r="H13">
            <v>2.5000000000000001E-2</v>
          </cell>
          <cell r="J13">
            <v>1.8800000000000001E-2</v>
          </cell>
          <cell r="N13">
            <v>8.8000000000000005E-3</v>
          </cell>
          <cell r="O13">
            <v>2.1000000000000003E-3</v>
          </cell>
          <cell r="P13">
            <v>2.9700000000000001E-2</v>
          </cell>
          <cell r="R13">
            <v>2.1600000000000001E-2</v>
          </cell>
          <cell r="V13">
            <v>8.8000000000000005E-3</v>
          </cell>
          <cell r="W13">
            <v>2.1000000000000003E-3</v>
          </cell>
          <cell r="X13">
            <v>3.2500000000000001E-2</v>
          </cell>
          <cell r="Z13">
            <v>1.7100000000000001E-2</v>
          </cell>
          <cell r="AD13">
            <v>8.8000000000000005E-3</v>
          </cell>
          <cell r="AE13">
            <v>2.1000000000000003E-3</v>
          </cell>
          <cell r="AF13">
            <v>2.8000000000000001E-2</v>
          </cell>
        </row>
        <row r="14">
          <cell r="A14">
            <v>35247</v>
          </cell>
          <cell r="B14">
            <v>2.5999999999999999E-2</v>
          </cell>
          <cell r="C14">
            <v>-6.7000000000000002E-3</v>
          </cell>
          <cell r="D14">
            <v>-2.5999999999999999E-3</v>
          </cell>
          <cell r="E14">
            <v>-2.5999999999999999E-3</v>
          </cell>
          <cell r="F14">
            <v>8.8000000000000005E-3</v>
          </cell>
          <cell r="G14">
            <v>2.1000000000000003E-3</v>
          </cell>
          <cell r="H14">
            <v>2.5000000000000001E-2</v>
          </cell>
          <cell r="J14">
            <v>3.0700000000000002E-2</v>
          </cell>
          <cell r="K14">
            <v>-6.7000000000000002E-3</v>
          </cell>
          <cell r="L14">
            <v>-2.5999999999999999E-3</v>
          </cell>
          <cell r="M14">
            <v>-2.5999999999999999E-3</v>
          </cell>
          <cell r="N14">
            <v>8.8000000000000005E-3</v>
          </cell>
          <cell r="O14">
            <v>2.1000000000000003E-3</v>
          </cell>
          <cell r="P14">
            <v>2.9700000000000008E-2</v>
          </cell>
          <cell r="R14">
            <v>3.3500000000000002E-2</v>
          </cell>
          <cell r="S14">
            <v>-6.7000000000000002E-3</v>
          </cell>
          <cell r="T14">
            <v>-2.5999999999999999E-3</v>
          </cell>
          <cell r="U14">
            <v>-2.5999999999999999E-3</v>
          </cell>
          <cell r="V14">
            <v>8.8000000000000005E-3</v>
          </cell>
          <cell r="W14">
            <v>2.1000000000000003E-3</v>
          </cell>
          <cell r="X14">
            <v>3.2500000000000001E-2</v>
          </cell>
          <cell r="Z14">
            <v>2.9000000000000001E-2</v>
          </cell>
          <cell r="AA14">
            <v>-6.7000000000000002E-3</v>
          </cell>
          <cell r="AB14">
            <v>-2.5999999999999999E-3</v>
          </cell>
          <cell r="AC14">
            <v>-2.5999999999999999E-3</v>
          </cell>
          <cell r="AD14">
            <v>8.8000000000000005E-3</v>
          </cell>
          <cell r="AE14">
            <v>2.1000000000000003E-3</v>
          </cell>
          <cell r="AF14">
            <v>2.8000000000000008E-2</v>
          </cell>
        </row>
        <row r="15">
          <cell r="A15">
            <v>35309</v>
          </cell>
          <cell r="B15">
            <v>2.5999999999999999E-2</v>
          </cell>
          <cell r="C15">
            <v>-7.1999999999999998E-3</v>
          </cell>
          <cell r="D15">
            <v>-5.0000000000000001E-3</v>
          </cell>
          <cell r="E15">
            <v>-2.5999999999999999E-3</v>
          </cell>
          <cell r="F15">
            <v>8.8000000000000005E-3</v>
          </cell>
          <cell r="G15">
            <v>2.1000000000000003E-3</v>
          </cell>
          <cell r="H15">
            <v>2.2099999999999998E-2</v>
          </cell>
          <cell r="J15">
            <v>3.0700000000000002E-2</v>
          </cell>
          <cell r="K15">
            <v>-7.1999999999999998E-3</v>
          </cell>
          <cell r="L15">
            <v>-5.0000000000000001E-3</v>
          </cell>
          <cell r="M15">
            <v>-2.5999999999999999E-3</v>
          </cell>
          <cell r="N15">
            <v>8.8000000000000005E-3</v>
          </cell>
          <cell r="O15">
            <v>2.1000000000000003E-3</v>
          </cell>
          <cell r="P15">
            <v>2.6800000000000001E-2</v>
          </cell>
          <cell r="R15">
            <v>3.3500000000000002E-2</v>
          </cell>
          <cell r="S15">
            <v>-7.1999999999999998E-3</v>
          </cell>
          <cell r="T15">
            <v>-5.0000000000000001E-3</v>
          </cell>
          <cell r="U15">
            <v>-2.5999999999999999E-3</v>
          </cell>
          <cell r="V15">
            <v>8.8000000000000005E-3</v>
          </cell>
          <cell r="W15">
            <v>2.1000000000000003E-3</v>
          </cell>
          <cell r="X15">
            <v>2.9600000000000005E-2</v>
          </cell>
          <cell r="Z15">
            <v>2.9000000000000001E-2</v>
          </cell>
          <cell r="AA15">
            <v>-7.1999999999999998E-3</v>
          </cell>
          <cell r="AB15">
            <v>-5.0000000000000001E-3</v>
          </cell>
          <cell r="AC15">
            <v>-2.5999999999999999E-3</v>
          </cell>
          <cell r="AD15">
            <v>8.8000000000000005E-3</v>
          </cell>
          <cell r="AE15">
            <v>2.1000000000000003E-3</v>
          </cell>
          <cell r="AF15">
            <v>2.5100000000000001E-2</v>
          </cell>
        </row>
        <row r="16">
          <cell r="A16">
            <v>35339</v>
          </cell>
          <cell r="B16">
            <v>2.5999999999999999E-2</v>
          </cell>
          <cell r="C16">
            <v>-7.1999999999999998E-3</v>
          </cell>
          <cell r="D16">
            <v>-5.0000000000000001E-3</v>
          </cell>
          <cell r="E16">
            <v>-2.5999999999999999E-3</v>
          </cell>
          <cell r="F16">
            <v>8.8000000000000005E-3</v>
          </cell>
          <cell r="G16">
            <v>1.8E-3</v>
          </cell>
          <cell r="H16">
            <v>2.1799999999999996E-2</v>
          </cell>
          <cell r="J16">
            <v>3.0700000000000002E-2</v>
          </cell>
          <cell r="K16">
            <v>-7.1999999999999998E-3</v>
          </cell>
          <cell r="L16">
            <v>-5.0000000000000001E-3</v>
          </cell>
          <cell r="M16">
            <v>-2.5999999999999999E-3</v>
          </cell>
          <cell r="N16">
            <v>8.8000000000000005E-3</v>
          </cell>
          <cell r="O16">
            <v>1.8E-3</v>
          </cell>
          <cell r="P16">
            <v>2.6499999999999999E-2</v>
          </cell>
          <cell r="R16">
            <v>3.3500000000000002E-2</v>
          </cell>
          <cell r="S16">
            <v>-7.1999999999999998E-3</v>
          </cell>
          <cell r="T16">
            <v>-5.0000000000000001E-3</v>
          </cell>
          <cell r="U16">
            <v>-2.5999999999999999E-3</v>
          </cell>
          <cell r="V16">
            <v>8.8000000000000005E-3</v>
          </cell>
          <cell r="W16">
            <v>1.8E-3</v>
          </cell>
          <cell r="X16">
            <v>2.9300000000000003E-2</v>
          </cell>
          <cell r="Z16">
            <v>2.9000000000000001E-2</v>
          </cell>
          <cell r="AA16">
            <v>-7.1999999999999998E-3</v>
          </cell>
          <cell r="AB16">
            <v>-5.0000000000000001E-3</v>
          </cell>
          <cell r="AC16">
            <v>-2.5999999999999999E-3</v>
          </cell>
          <cell r="AD16">
            <v>8.8000000000000005E-3</v>
          </cell>
          <cell r="AE16">
            <v>1.8E-3</v>
          </cell>
          <cell r="AF16">
            <v>2.4799999999999999E-2</v>
          </cell>
        </row>
        <row r="17">
          <cell r="A17">
            <v>35490</v>
          </cell>
          <cell r="B17">
            <v>2.5999999999999999E-2</v>
          </cell>
          <cell r="C17">
            <v>-6.8999999999999999E-3</v>
          </cell>
          <cell r="D17">
            <v>1E-4</v>
          </cell>
          <cell r="F17">
            <v>8.8000000000000005E-3</v>
          </cell>
          <cell r="G17">
            <v>1.8E-3</v>
          </cell>
          <cell r="H17">
            <v>2.9799999999999997E-2</v>
          </cell>
          <cell r="J17">
            <v>3.0700000000000002E-2</v>
          </cell>
          <cell r="K17">
            <v>-6.8999999999999999E-3</v>
          </cell>
          <cell r="L17">
            <v>1E-4</v>
          </cell>
          <cell r="N17">
            <v>8.8000000000000005E-3</v>
          </cell>
          <cell r="O17">
            <v>1.8E-3</v>
          </cell>
          <cell r="P17">
            <v>3.4500000000000003E-2</v>
          </cell>
          <cell r="R17">
            <v>3.3500000000000002E-2</v>
          </cell>
          <cell r="S17">
            <v>-6.8999999999999999E-3</v>
          </cell>
          <cell r="T17">
            <v>1E-4</v>
          </cell>
          <cell r="V17">
            <v>8.8000000000000005E-3</v>
          </cell>
          <cell r="W17">
            <v>1.8E-3</v>
          </cell>
          <cell r="X17">
            <v>3.7300000000000007E-2</v>
          </cell>
          <cell r="Z17">
            <v>2.9000000000000001E-2</v>
          </cell>
          <cell r="AA17">
            <v>-6.8999999999999999E-3</v>
          </cell>
          <cell r="AB17">
            <v>1E-4</v>
          </cell>
          <cell r="AD17">
            <v>8.8000000000000005E-3</v>
          </cell>
          <cell r="AE17">
            <v>1.8E-3</v>
          </cell>
          <cell r="AF17">
            <v>3.2800000000000003E-2</v>
          </cell>
        </row>
        <row r="18">
          <cell r="A18">
            <v>35674</v>
          </cell>
          <cell r="B18">
            <v>2.5999999999999999E-2</v>
          </cell>
          <cell r="C18">
            <v>-7.1999999999999998E-3</v>
          </cell>
          <cell r="F18">
            <v>8.8000000000000005E-3</v>
          </cell>
          <cell r="G18">
            <v>1.8E-3</v>
          </cell>
          <cell r="H18">
            <v>2.9399999999999999E-2</v>
          </cell>
          <cell r="J18">
            <v>3.0700000000000002E-2</v>
          </cell>
          <cell r="K18">
            <v>-7.1999999999999998E-3</v>
          </cell>
          <cell r="N18">
            <v>8.8000000000000005E-3</v>
          </cell>
          <cell r="O18">
            <v>1.8E-3</v>
          </cell>
          <cell r="P18">
            <v>3.4100000000000005E-2</v>
          </cell>
          <cell r="R18">
            <v>3.3500000000000002E-2</v>
          </cell>
          <cell r="S18">
            <v>-7.1999999999999998E-3</v>
          </cell>
          <cell r="V18">
            <v>8.8000000000000005E-3</v>
          </cell>
          <cell r="W18">
            <v>1.8E-3</v>
          </cell>
          <cell r="X18">
            <v>3.6900000000000009E-2</v>
          </cell>
          <cell r="Z18">
            <v>2.9000000000000001E-2</v>
          </cell>
          <cell r="AA18">
            <v>-7.1999999999999998E-3</v>
          </cell>
          <cell r="AD18">
            <v>8.8000000000000005E-3</v>
          </cell>
          <cell r="AE18">
            <v>1.8E-3</v>
          </cell>
          <cell r="AF18">
            <v>3.2400000000000005E-2</v>
          </cell>
        </row>
        <row r="19">
          <cell r="A19">
            <v>36161</v>
          </cell>
          <cell r="B19">
            <v>2.2100000000000002E-2</v>
          </cell>
          <cell r="C19">
            <v>0</v>
          </cell>
          <cell r="F19">
            <v>7.4999999999999997E-3</v>
          </cell>
          <cell r="G19">
            <v>2.2000000000000001E-3</v>
          </cell>
          <cell r="H19">
            <v>3.1800000000000002E-2</v>
          </cell>
          <cell r="J19">
            <v>2.81E-2</v>
          </cell>
          <cell r="K19">
            <v>0</v>
          </cell>
          <cell r="N19">
            <v>7.4999999999999997E-3</v>
          </cell>
          <cell r="O19">
            <v>2.2000000000000001E-3</v>
          </cell>
          <cell r="P19">
            <v>3.78E-2</v>
          </cell>
          <cell r="R19">
            <v>3.1199999999999999E-2</v>
          </cell>
          <cell r="S19">
            <v>0</v>
          </cell>
          <cell r="V19">
            <v>7.4999999999999997E-3</v>
          </cell>
          <cell r="W19">
            <v>2.2000000000000001E-3</v>
          </cell>
          <cell r="X19">
            <v>4.0899999999999999E-2</v>
          </cell>
          <cell r="Z19">
            <v>2.6200000000000001E-2</v>
          </cell>
          <cell r="AA19">
            <v>0</v>
          </cell>
          <cell r="AD19">
            <v>7.4999999999999997E-3</v>
          </cell>
          <cell r="AE19">
            <v>2.2000000000000001E-3</v>
          </cell>
          <cell r="AF19">
            <v>3.5900000000000001E-2</v>
          </cell>
        </row>
        <row r="20">
          <cell r="A20">
            <v>36831</v>
          </cell>
          <cell r="B20">
            <v>2.12E-2</v>
          </cell>
          <cell r="C20">
            <v>0</v>
          </cell>
          <cell r="F20">
            <v>7.1999999999999998E-3</v>
          </cell>
          <cell r="G20">
            <v>2.2000000000000001E-3</v>
          </cell>
          <cell r="H20">
            <v>3.0600000000000002E-2</v>
          </cell>
          <cell r="J20">
            <v>2.7199999999999998E-2</v>
          </cell>
          <cell r="K20">
            <v>0</v>
          </cell>
          <cell r="N20">
            <v>7.1999999999999998E-3</v>
          </cell>
          <cell r="O20">
            <v>2.2000000000000001E-3</v>
          </cell>
          <cell r="P20">
            <v>3.6600000000000001E-2</v>
          </cell>
          <cell r="R20">
            <v>3.0300000000000001E-2</v>
          </cell>
          <cell r="S20">
            <v>0</v>
          </cell>
          <cell r="V20">
            <v>7.1999999999999998E-3</v>
          </cell>
          <cell r="W20">
            <v>2.2000000000000001E-3</v>
          </cell>
          <cell r="X20">
            <v>3.9699999999999999E-2</v>
          </cell>
          <cell r="Z20">
            <v>2.53E-2</v>
          </cell>
          <cell r="AA20">
            <v>0</v>
          </cell>
          <cell r="AD20">
            <v>7.1999999999999998E-3</v>
          </cell>
          <cell r="AE20">
            <v>2.2000000000000001E-3</v>
          </cell>
          <cell r="AF20">
            <v>3.4700000000000002E-2</v>
          </cell>
        </row>
        <row r="21">
          <cell r="A21">
            <v>36923</v>
          </cell>
          <cell r="B21">
            <v>1.55E-2</v>
          </cell>
          <cell r="C21">
            <v>0</v>
          </cell>
          <cell r="F21">
            <v>7.1999999999999998E-3</v>
          </cell>
          <cell r="G21">
            <v>2.2000000000000001E-3</v>
          </cell>
          <cell r="H21">
            <v>2.4899999999999999E-2</v>
          </cell>
          <cell r="J21">
            <v>1.9400000000000001E-2</v>
          </cell>
          <cell r="K21">
            <v>0</v>
          </cell>
          <cell r="N21">
            <v>7.1999999999999998E-3</v>
          </cell>
          <cell r="O21">
            <v>2.2000000000000001E-3</v>
          </cell>
          <cell r="P21">
            <v>2.8799999999999999E-2</v>
          </cell>
          <cell r="R21">
            <v>2.1999999999999999E-2</v>
          </cell>
          <cell r="S21">
            <v>0</v>
          </cell>
          <cell r="V21">
            <v>7.1999999999999998E-3</v>
          </cell>
          <cell r="W21">
            <v>2.2000000000000001E-3</v>
          </cell>
          <cell r="X21">
            <v>3.1399999999999997E-2</v>
          </cell>
          <cell r="Z21">
            <v>1.7899999999999999E-2</v>
          </cell>
          <cell r="AA21">
            <v>0</v>
          </cell>
          <cell r="AD21">
            <v>7.1999999999999998E-3</v>
          </cell>
          <cell r="AE21">
            <v>2.2000000000000001E-3</v>
          </cell>
          <cell r="AF21">
            <v>2.7299999999999998E-2</v>
          </cell>
        </row>
        <row r="22">
          <cell r="A22">
            <v>37196</v>
          </cell>
          <cell r="B22">
            <v>1.55E-2</v>
          </cell>
          <cell r="C22">
            <v>0</v>
          </cell>
          <cell r="F22">
            <v>7.0000000000000001E-3</v>
          </cell>
          <cell r="G22">
            <v>2.2000000000000001E-3</v>
          </cell>
          <cell r="H22">
            <v>2.47E-2</v>
          </cell>
          <cell r="J22">
            <v>1.9400000000000001E-2</v>
          </cell>
          <cell r="K22">
            <v>0</v>
          </cell>
          <cell r="N22">
            <v>7.0000000000000001E-3</v>
          </cell>
          <cell r="O22">
            <v>2.2000000000000001E-3</v>
          </cell>
          <cell r="P22">
            <v>2.86E-2</v>
          </cell>
          <cell r="R22">
            <v>2.1999999999999999E-2</v>
          </cell>
          <cell r="S22">
            <v>0</v>
          </cell>
          <cell r="V22">
            <v>7.0000000000000001E-3</v>
          </cell>
          <cell r="W22">
            <v>2.2000000000000001E-3</v>
          </cell>
          <cell r="X22">
            <v>3.1199999999999999E-2</v>
          </cell>
          <cell r="Z22">
            <v>1.7899999999999999E-2</v>
          </cell>
          <cell r="AA22">
            <v>0</v>
          </cell>
          <cell r="AD22">
            <v>7.0000000000000001E-3</v>
          </cell>
          <cell r="AE22">
            <v>2.2000000000000001E-3</v>
          </cell>
          <cell r="AF22">
            <v>2.7099999999999999E-2</v>
          </cell>
        </row>
        <row r="23">
          <cell r="A23">
            <v>37561</v>
          </cell>
          <cell r="B23">
            <v>3.5499999999999997E-2</v>
          </cell>
          <cell r="C23">
            <v>0</v>
          </cell>
          <cell r="F23">
            <v>5.4999999999999997E-3</v>
          </cell>
          <cell r="G23">
            <v>2.0999999999999999E-3</v>
          </cell>
          <cell r="H23">
            <v>4.3099999999999992E-2</v>
          </cell>
          <cell r="J23">
            <v>4.5900000000000003E-2</v>
          </cell>
          <cell r="K23">
            <v>0</v>
          </cell>
          <cell r="N23">
            <v>5.4999999999999997E-3</v>
          </cell>
          <cell r="O23">
            <v>2.0999999999999999E-3</v>
          </cell>
          <cell r="P23">
            <v>5.3499999999999999E-2</v>
          </cell>
          <cell r="R23">
            <v>5.1799999999999999E-2</v>
          </cell>
          <cell r="S23">
            <v>0</v>
          </cell>
          <cell r="V23">
            <v>5.4999999999999997E-3</v>
          </cell>
          <cell r="W23">
            <v>2.0999999999999999E-3</v>
          </cell>
          <cell r="X23">
            <v>5.9399999999999994E-2</v>
          </cell>
          <cell r="Z23">
            <v>4.1799999999999997E-2</v>
          </cell>
          <cell r="AA23">
            <v>0</v>
          </cell>
          <cell r="AD23">
            <v>5.4999999999999997E-3</v>
          </cell>
          <cell r="AE23">
            <v>2.0999999999999999E-3</v>
          </cell>
          <cell r="AF23">
            <v>4.9399999999999993E-2</v>
          </cell>
        </row>
        <row r="24">
          <cell r="A24">
            <v>37834</v>
          </cell>
          <cell r="B24">
            <v>3.5400000000000001E-2</v>
          </cell>
          <cell r="C24">
            <v>0</v>
          </cell>
          <cell r="F24">
            <v>4.0000000000000001E-3</v>
          </cell>
          <cell r="G24">
            <v>2.0999999999999999E-3</v>
          </cell>
          <cell r="H24">
            <v>4.1500000000000002E-2</v>
          </cell>
          <cell r="J24">
            <v>4.58E-2</v>
          </cell>
          <cell r="K24">
            <v>0</v>
          </cell>
          <cell r="N24">
            <v>4.0000000000000001E-3</v>
          </cell>
          <cell r="O24">
            <v>2.0999999999999999E-3</v>
          </cell>
          <cell r="P24">
            <v>5.1899999999999995E-2</v>
          </cell>
          <cell r="R24">
            <v>5.1700000000000003E-2</v>
          </cell>
          <cell r="S24">
            <v>0</v>
          </cell>
          <cell r="V24">
            <v>4.0000000000000001E-3</v>
          </cell>
          <cell r="W24">
            <v>2.0999999999999999E-3</v>
          </cell>
          <cell r="X24">
            <v>5.7799999999999997E-2</v>
          </cell>
          <cell r="Z24">
            <v>4.1700000000000001E-2</v>
          </cell>
          <cell r="AA24">
            <v>0</v>
          </cell>
          <cell r="AD24">
            <v>4.0000000000000001E-3</v>
          </cell>
          <cell r="AE24">
            <v>2.0999999999999999E-3</v>
          </cell>
          <cell r="AF24">
            <v>4.7800000000000002E-2</v>
          </cell>
        </row>
        <row r="25">
          <cell r="A25">
            <v>38200</v>
          </cell>
          <cell r="B25">
            <v>3.5400000000000001E-2</v>
          </cell>
          <cell r="F25">
            <v>0</v>
          </cell>
          <cell r="G25">
            <v>2.0999999999999999E-3</v>
          </cell>
          <cell r="H25">
            <v>3.7499999999999999E-2</v>
          </cell>
          <cell r="J25">
            <v>4.58E-2</v>
          </cell>
          <cell r="N25">
            <v>0</v>
          </cell>
          <cell r="O25">
            <v>2.0999999999999999E-3</v>
          </cell>
          <cell r="P25">
            <v>4.7899999999999998E-2</v>
          </cell>
          <cell r="R25">
            <v>5.1700000000000003E-2</v>
          </cell>
          <cell r="V25">
            <v>0</v>
          </cell>
          <cell r="W25">
            <v>2.0999999999999999E-3</v>
          </cell>
          <cell r="X25">
            <v>5.3800000000000001E-2</v>
          </cell>
          <cell r="Z25">
            <v>4.1700000000000001E-2</v>
          </cell>
          <cell r="AD25">
            <v>0</v>
          </cell>
          <cell r="AE25">
            <v>2.0999999999999999E-3</v>
          </cell>
          <cell r="AF25">
            <v>4.3799999999999999E-2</v>
          </cell>
        </row>
        <row r="26">
          <cell r="A26">
            <v>38384</v>
          </cell>
          <cell r="B26">
            <v>3.5400000000000001E-2</v>
          </cell>
          <cell r="F26">
            <v>0</v>
          </cell>
          <cell r="G26">
            <v>1.9E-3</v>
          </cell>
          <cell r="H26">
            <v>3.73E-2</v>
          </cell>
          <cell r="J26">
            <v>4.58E-2</v>
          </cell>
          <cell r="N26">
            <v>0</v>
          </cell>
          <cell r="O26">
            <v>1.9E-3</v>
          </cell>
          <cell r="P26">
            <v>4.7699999999999999E-2</v>
          </cell>
          <cell r="R26">
            <v>5.1700000000000003E-2</v>
          </cell>
          <cell r="V26">
            <v>0</v>
          </cell>
          <cell r="W26">
            <v>1.9E-3</v>
          </cell>
          <cell r="X26">
            <v>5.3600000000000002E-2</v>
          </cell>
          <cell r="Z26">
            <v>4.1700000000000001E-2</v>
          </cell>
          <cell r="AD26">
            <v>0</v>
          </cell>
          <cell r="AE26">
            <v>1.9E-3</v>
          </cell>
          <cell r="AF26">
            <v>4.36E-2</v>
          </cell>
        </row>
        <row r="27">
          <cell r="A27">
            <v>38473</v>
          </cell>
          <cell r="B27">
            <v>3.5400000000000001E-2</v>
          </cell>
          <cell r="F27">
            <v>0</v>
          </cell>
          <cell r="G27">
            <v>1.9E-3</v>
          </cell>
          <cell r="H27">
            <v>3.73E-2</v>
          </cell>
          <cell r="J27">
            <v>4.58E-2</v>
          </cell>
          <cell r="N27">
            <v>0</v>
          </cell>
          <cell r="O27">
            <v>1.9E-3</v>
          </cell>
          <cell r="P27">
            <v>4.7699999999999999E-2</v>
          </cell>
          <cell r="R27">
            <v>5.1700000000000003E-2</v>
          </cell>
          <cell r="V27">
            <v>0</v>
          </cell>
          <cell r="W27">
            <v>1.9E-3</v>
          </cell>
          <cell r="X27">
            <v>5.3600000000000002E-2</v>
          </cell>
          <cell r="Z27">
            <v>4.1700000000000001E-2</v>
          </cell>
          <cell r="AD27">
            <v>0</v>
          </cell>
          <cell r="AE27">
            <v>1.9E-3</v>
          </cell>
          <cell r="AF27">
            <v>4.36E-2</v>
          </cell>
        </row>
        <row r="28">
          <cell r="A28">
            <v>38687</v>
          </cell>
          <cell r="B28">
            <v>4.36E-2</v>
          </cell>
          <cell r="F28">
            <v>0</v>
          </cell>
          <cell r="G28">
            <v>1.8E-3</v>
          </cell>
          <cell r="H28">
            <v>4.5400000000000003E-2</v>
          </cell>
          <cell r="J28">
            <v>4.9700000000000001E-2</v>
          </cell>
          <cell r="N28">
            <v>0</v>
          </cell>
          <cell r="O28">
            <v>1.8E-3</v>
          </cell>
          <cell r="P28">
            <v>5.1500000000000004E-2</v>
          </cell>
          <cell r="R28">
            <v>5.7200000000000001E-2</v>
          </cell>
          <cell r="V28">
            <v>0</v>
          </cell>
          <cell r="W28">
            <v>1.8E-3</v>
          </cell>
          <cell r="X28">
            <v>5.9000000000000004E-2</v>
          </cell>
          <cell r="Z28">
            <v>4.6600000000000003E-2</v>
          </cell>
          <cell r="AD28">
            <v>0</v>
          </cell>
          <cell r="AE28">
            <v>1.8E-3</v>
          </cell>
          <cell r="AF28">
            <v>4.8400000000000006E-2</v>
          </cell>
        </row>
        <row r="29">
          <cell r="A29">
            <v>38838</v>
          </cell>
          <cell r="B29">
            <v>3.9899999999999998E-2</v>
          </cell>
          <cell r="F29">
            <v>0</v>
          </cell>
          <cell r="G29">
            <v>1.8E-3</v>
          </cell>
          <cell r="H29">
            <v>4.1700000000000001E-2</v>
          </cell>
          <cell r="J29">
            <v>4.4499999999999998E-2</v>
          </cell>
          <cell r="N29">
            <v>0</v>
          </cell>
          <cell r="O29">
            <v>1.8E-3</v>
          </cell>
          <cell r="P29">
            <v>4.6300000000000001E-2</v>
          </cell>
          <cell r="R29">
            <v>5.28E-2</v>
          </cell>
          <cell r="V29">
            <v>0</v>
          </cell>
          <cell r="W29">
            <v>1.8E-3</v>
          </cell>
          <cell r="X29">
            <v>5.4600000000000003E-2</v>
          </cell>
          <cell r="Z29">
            <v>4.2200000000000001E-2</v>
          </cell>
          <cell r="AD29">
            <v>0</v>
          </cell>
          <cell r="AE29">
            <v>1.8E-3</v>
          </cell>
          <cell r="AF29">
            <v>4.4000000000000004E-2</v>
          </cell>
        </row>
        <row r="30">
          <cell r="A30">
            <v>39114</v>
          </cell>
          <cell r="B30">
            <v>3.9899999999999998E-2</v>
          </cell>
          <cell r="F30">
            <v>0</v>
          </cell>
          <cell r="G30">
            <v>1.6000000000000001E-3</v>
          </cell>
          <cell r="H30">
            <v>4.1499999999999995E-2</v>
          </cell>
          <cell r="J30">
            <v>4.4499999999999998E-2</v>
          </cell>
          <cell r="N30">
            <v>0</v>
          </cell>
          <cell r="O30">
            <v>1.6000000000000001E-3</v>
          </cell>
          <cell r="P30">
            <v>4.6099999999999995E-2</v>
          </cell>
          <cell r="R30">
            <v>5.28E-2</v>
          </cell>
          <cell r="V30">
            <v>0</v>
          </cell>
          <cell r="W30">
            <v>1.6000000000000001E-3</v>
          </cell>
          <cell r="X30">
            <v>5.4399999999999997E-2</v>
          </cell>
          <cell r="Z30">
            <v>4.2200000000000001E-2</v>
          </cell>
          <cell r="AD30">
            <v>0</v>
          </cell>
          <cell r="AE30">
            <v>1.6000000000000001E-3</v>
          </cell>
          <cell r="AF30">
            <v>4.3799999999999999E-2</v>
          </cell>
        </row>
        <row r="31">
          <cell r="A31">
            <v>54789</v>
          </cell>
        </row>
      </sheetData>
      <sheetData sheetId="69">
        <row r="10">
          <cell r="A10">
            <v>35004</v>
          </cell>
          <cell r="B10">
            <v>3.2399999999999998E-2</v>
          </cell>
          <cell r="C10">
            <v>1.72E-2</v>
          </cell>
          <cell r="D10">
            <v>2.6700000000000002E-2</v>
          </cell>
          <cell r="E10">
            <v>2.35E-2</v>
          </cell>
          <cell r="G10">
            <v>4.5100000000000001E-2</v>
          </cell>
          <cell r="H10">
            <v>2.18E-2</v>
          </cell>
          <cell r="I10">
            <v>3.7100000000000001E-2</v>
          </cell>
          <cell r="J10">
            <v>3.1800000000000002E-2</v>
          </cell>
          <cell r="L10">
            <v>5.6500000000000002E-2</v>
          </cell>
          <cell r="M10">
            <v>2.63E-2</v>
          </cell>
          <cell r="N10">
            <v>4.1700000000000001E-2</v>
          </cell>
          <cell r="O10">
            <v>2.7200000000000002E-2</v>
          </cell>
        </row>
        <row r="11">
          <cell r="A11">
            <v>35370</v>
          </cell>
          <cell r="B11">
            <v>2.6200000000000001E-2</v>
          </cell>
          <cell r="C11">
            <v>2.9100000000000001E-2</v>
          </cell>
          <cell r="D11">
            <v>2.6499999999999999E-2</v>
          </cell>
          <cell r="E11">
            <v>2.69E-2</v>
          </cell>
          <cell r="G11">
            <v>4.5600000000000002E-2</v>
          </cell>
          <cell r="H11">
            <v>2.6100000000000002E-2</v>
          </cell>
          <cell r="I11">
            <v>3.7699999999999997E-2</v>
          </cell>
          <cell r="J11">
            <v>3.32E-2</v>
          </cell>
          <cell r="L11">
            <v>5.9900000000000002E-2</v>
          </cell>
          <cell r="M11">
            <v>2.01E-2</v>
          </cell>
          <cell r="N11">
            <v>3.6200000000000003E-2</v>
          </cell>
          <cell r="O11">
            <v>3.9600000000000003E-2</v>
          </cell>
        </row>
        <row r="12">
          <cell r="A12">
            <v>35735</v>
          </cell>
          <cell r="B12">
            <v>2.4E-2</v>
          </cell>
          <cell r="C12">
            <v>3.0200000000000001E-2</v>
          </cell>
          <cell r="D12">
            <v>2.1100000000000001E-2</v>
          </cell>
          <cell r="E12">
            <v>2.63E-2</v>
          </cell>
          <cell r="G12">
            <v>3.0300000000000001E-2</v>
          </cell>
          <cell r="H12">
            <v>3.1199999999999999E-2</v>
          </cell>
          <cell r="I12">
            <v>2.6499999999999999E-2</v>
          </cell>
          <cell r="J12">
            <v>2.7799999999999998E-2</v>
          </cell>
          <cell r="L12">
            <v>4.2599999999999999E-2</v>
          </cell>
          <cell r="M12">
            <v>2.29E-2</v>
          </cell>
          <cell r="N12">
            <v>3.0300000000000001E-2</v>
          </cell>
          <cell r="O12">
            <v>3.9E-2</v>
          </cell>
        </row>
        <row r="13">
          <cell r="A13">
            <v>36465</v>
          </cell>
          <cell r="B13">
            <v>2.7099999999999999E-2</v>
          </cell>
          <cell r="C13">
            <v>1.9E-2</v>
          </cell>
          <cell r="D13">
            <v>2.23E-2</v>
          </cell>
          <cell r="E13">
            <v>2.0799999999999999E-2</v>
          </cell>
          <cell r="G13">
            <v>3.3300000000000003E-2</v>
          </cell>
          <cell r="H13">
            <v>2.1399999999999999E-2</v>
          </cell>
          <cell r="I13">
            <v>2.93E-2</v>
          </cell>
          <cell r="J13">
            <v>2.6599999999999999E-2</v>
          </cell>
          <cell r="L13">
            <v>4.3099999999999999E-2</v>
          </cell>
          <cell r="M13">
            <v>2.9100000000000001E-2</v>
          </cell>
          <cell r="N13">
            <v>3.3700000000000001E-2</v>
          </cell>
          <cell r="O13">
            <v>2.6800000000000001E-2</v>
          </cell>
        </row>
        <row r="14">
          <cell r="A14">
            <v>36831</v>
          </cell>
          <cell r="B14">
            <v>2.7099999999999999E-2</v>
          </cell>
          <cell r="C14">
            <v>1.9E-2</v>
          </cell>
          <cell r="D14">
            <v>2.23E-2</v>
          </cell>
          <cell r="E14">
            <v>2.0799999999999999E-2</v>
          </cell>
          <cell r="G14">
            <v>3.3300000000000003E-2</v>
          </cell>
          <cell r="H14">
            <v>2.1399999999999999E-2</v>
          </cell>
          <cell r="I14">
            <v>2.93E-2</v>
          </cell>
          <cell r="J14">
            <v>2.6599999999999999E-2</v>
          </cell>
          <cell r="L14">
            <v>4.3099999999999999E-2</v>
          </cell>
          <cell r="M14">
            <v>2.9100000000000001E-2</v>
          </cell>
          <cell r="N14">
            <v>3.3700000000000001E-2</v>
          </cell>
          <cell r="O14">
            <v>2.6800000000000001E-2</v>
          </cell>
        </row>
        <row r="15">
          <cell r="A15">
            <v>37196</v>
          </cell>
          <cell r="B15">
            <v>1.8200000000000001E-2</v>
          </cell>
          <cell r="C15">
            <v>2.4500000000000001E-2</v>
          </cell>
          <cell r="D15">
            <v>2.29E-2</v>
          </cell>
          <cell r="E15">
            <v>2.2800000000000001E-2</v>
          </cell>
          <cell r="G15">
            <v>2.75E-2</v>
          </cell>
          <cell r="H15">
            <v>2.69E-2</v>
          </cell>
          <cell r="I15">
            <v>2.8000000000000001E-2</v>
          </cell>
          <cell r="J15">
            <v>2.5000000000000001E-2</v>
          </cell>
          <cell r="L15">
            <v>3.1800000000000002E-2</v>
          </cell>
          <cell r="M15">
            <v>3.1899999999999998E-2</v>
          </cell>
          <cell r="N15">
            <v>3.27E-2</v>
          </cell>
          <cell r="O15">
            <v>2.9600000000000001E-2</v>
          </cell>
        </row>
        <row r="16">
          <cell r="A16">
            <v>37561</v>
          </cell>
          <cell r="B16">
            <v>3.27E-2</v>
          </cell>
          <cell r="C16">
            <v>3.1300000000000001E-2</v>
          </cell>
          <cell r="D16">
            <v>2.07E-2</v>
          </cell>
          <cell r="E16">
            <v>2.3800000000000002E-2</v>
          </cell>
          <cell r="G16">
            <v>3.32E-2</v>
          </cell>
          <cell r="H16">
            <v>3.3099999999999997E-2</v>
          </cell>
          <cell r="I16">
            <v>2.76E-2</v>
          </cell>
          <cell r="J16">
            <v>3.0200000000000001E-2</v>
          </cell>
          <cell r="L16">
            <v>3.8899999999999997E-2</v>
          </cell>
          <cell r="M16">
            <v>3.6999999999999998E-2</v>
          </cell>
          <cell r="N16">
            <v>3.1699999999999999E-2</v>
          </cell>
          <cell r="O16">
            <v>3.49E-2</v>
          </cell>
        </row>
        <row r="17">
          <cell r="A17">
            <v>37926</v>
          </cell>
          <cell r="B17">
            <v>2.3099999999999999E-2</v>
          </cell>
          <cell r="C17">
            <v>2.5700000000000001E-2</v>
          </cell>
          <cell r="D17">
            <v>2.1399999999999999E-2</v>
          </cell>
          <cell r="E17">
            <v>2.18E-2</v>
          </cell>
          <cell r="G17">
            <v>2.98E-2</v>
          </cell>
          <cell r="H17">
            <v>3.4500000000000003E-2</v>
          </cell>
          <cell r="I17">
            <v>2.8400000000000002E-2</v>
          </cell>
          <cell r="J17">
            <v>3.2399999999999998E-2</v>
          </cell>
          <cell r="L17">
            <v>3.8699999999999998E-2</v>
          </cell>
          <cell r="M17">
            <v>3.6900000000000002E-2</v>
          </cell>
          <cell r="N17">
            <v>3.2899999999999999E-2</v>
          </cell>
          <cell r="O17">
            <v>3.7400000000000003E-2</v>
          </cell>
        </row>
        <row r="18">
          <cell r="A18">
            <v>38292</v>
          </cell>
          <cell r="B18">
            <v>1.9599999999999999E-2</v>
          </cell>
          <cell r="C18">
            <v>1.4500000000000001E-2</v>
          </cell>
          <cell r="D18">
            <v>1.6E-2</v>
          </cell>
          <cell r="E18">
            <v>1.2500000000000001E-2</v>
          </cell>
          <cell r="G18">
            <v>2.7699999999999999E-2</v>
          </cell>
          <cell r="H18">
            <v>2.23E-2</v>
          </cell>
          <cell r="I18">
            <v>2.12E-2</v>
          </cell>
          <cell r="J18">
            <v>1.89E-2</v>
          </cell>
          <cell r="L18">
            <v>3.44E-2</v>
          </cell>
          <cell r="M18">
            <v>2.35E-2</v>
          </cell>
          <cell r="N18">
            <v>2.86E-2</v>
          </cell>
          <cell r="O18">
            <v>2.2700000000000001E-2</v>
          </cell>
        </row>
        <row r="19">
          <cell r="A19">
            <v>38384</v>
          </cell>
          <cell r="B19">
            <v>2.4299999999999999E-2</v>
          </cell>
          <cell r="C19">
            <v>2.01E-2</v>
          </cell>
          <cell r="D19">
            <v>1.9199999999999998E-2</v>
          </cell>
          <cell r="E19">
            <v>1.0699999999999999E-2</v>
          </cell>
          <cell r="G19">
            <v>2.7300000000000001E-2</v>
          </cell>
          <cell r="H19">
            <v>2.1499999999999998E-2</v>
          </cell>
          <cell r="I19">
            <v>2.8400000000000002E-2</v>
          </cell>
          <cell r="J19">
            <v>1.9400000000000001E-2</v>
          </cell>
          <cell r="L19">
            <v>3.0200000000000001E-2</v>
          </cell>
          <cell r="M19">
            <v>2.1499999999999998E-2</v>
          </cell>
          <cell r="N19">
            <v>2.9000000000000001E-2</v>
          </cell>
          <cell r="O19">
            <v>2.5600000000000001E-2</v>
          </cell>
        </row>
        <row r="20">
          <cell r="A20">
            <v>38473</v>
          </cell>
          <cell r="B20">
            <v>2.4299999999999999E-2</v>
          </cell>
          <cell r="C20">
            <v>2.01E-2</v>
          </cell>
          <cell r="D20">
            <v>1.9199999999999998E-2</v>
          </cell>
          <cell r="E20">
            <v>1.0699999999999999E-2</v>
          </cell>
          <cell r="G20">
            <v>2.7300000000000001E-2</v>
          </cell>
          <cell r="H20">
            <v>2.1499999999999998E-2</v>
          </cell>
          <cell r="I20">
            <v>2.8400000000000002E-2</v>
          </cell>
          <cell r="J20">
            <v>1.9400000000000001E-2</v>
          </cell>
          <cell r="L20">
            <v>3.0200000000000001E-2</v>
          </cell>
          <cell r="M20">
            <v>2.1499999999999998E-2</v>
          </cell>
          <cell r="N20">
            <v>2.9000000000000001E-2</v>
          </cell>
          <cell r="O20">
            <v>2.5600000000000001E-2</v>
          </cell>
        </row>
        <row r="21">
          <cell r="A21">
            <v>39022</v>
          </cell>
          <cell r="B21">
            <v>2.07E-2</v>
          </cell>
          <cell r="C21">
            <v>2.7099999999999999E-2</v>
          </cell>
          <cell r="D21">
            <v>1.06E-2</v>
          </cell>
          <cell r="E21">
            <v>1.6199999999999999E-2</v>
          </cell>
          <cell r="G21">
            <v>2.0500000000000001E-2</v>
          </cell>
          <cell r="H21">
            <v>2.5600000000000001E-2</v>
          </cell>
          <cell r="I21">
            <v>2.1000000000000001E-2</v>
          </cell>
          <cell r="J21">
            <v>2.3E-2</v>
          </cell>
          <cell r="L21">
            <v>3.61E-2</v>
          </cell>
          <cell r="M21">
            <v>3.2300000000000002E-2</v>
          </cell>
          <cell r="N21">
            <v>2.4400000000000002E-2</v>
          </cell>
          <cell r="O21">
            <v>3.0800000000000001E-2</v>
          </cell>
        </row>
        <row r="22">
          <cell r="A22">
            <v>39114</v>
          </cell>
          <cell r="B22">
            <v>2.7E-2</v>
          </cell>
          <cell r="C22">
            <v>2.3599999999999999E-2</v>
          </cell>
          <cell r="D22">
            <v>1.5599999999999999E-2</v>
          </cell>
          <cell r="E22">
            <v>1.8700000000000001E-2</v>
          </cell>
          <cell r="G22">
            <v>3.1699999999999999E-2</v>
          </cell>
          <cell r="H22">
            <v>3.2300000000000002E-2</v>
          </cell>
          <cell r="I22">
            <v>1.7299999999999999E-2</v>
          </cell>
          <cell r="J22">
            <v>2.01E-2</v>
          </cell>
          <cell r="L22">
            <v>3.9600000000000003E-2</v>
          </cell>
          <cell r="M22">
            <v>0.03</v>
          </cell>
          <cell r="N22">
            <v>2.4899999999999999E-2</v>
          </cell>
          <cell r="O22">
            <v>2.2200000000000001E-2</v>
          </cell>
        </row>
        <row r="23">
          <cell r="A23">
            <v>54789</v>
          </cell>
        </row>
      </sheetData>
      <sheetData sheetId="70">
        <row r="10">
          <cell r="A10">
            <v>34912</v>
          </cell>
          <cell r="B10">
            <v>1.4259999999999999</v>
          </cell>
        </row>
        <row r="11">
          <cell r="A11">
            <v>34943</v>
          </cell>
          <cell r="B11">
            <v>1.605</v>
          </cell>
        </row>
        <row r="12">
          <cell r="A12">
            <v>34973</v>
          </cell>
          <cell r="B12">
            <v>1.6890000000000001</v>
          </cell>
        </row>
        <row r="13">
          <cell r="A13">
            <v>35004</v>
          </cell>
          <cell r="B13">
            <v>1.8169999999999999</v>
          </cell>
        </row>
        <row r="14">
          <cell r="A14">
            <v>35034</v>
          </cell>
          <cell r="B14">
            <v>2.2749999999999999</v>
          </cell>
        </row>
        <row r="15">
          <cell r="A15">
            <v>35065</v>
          </cell>
          <cell r="B15">
            <v>3.2410000000000001</v>
          </cell>
        </row>
        <row r="16">
          <cell r="A16">
            <v>35096</v>
          </cell>
          <cell r="B16">
            <v>3.82</v>
          </cell>
        </row>
        <row r="17">
          <cell r="A17">
            <v>35125</v>
          </cell>
          <cell r="B17">
            <v>2.839</v>
          </cell>
        </row>
        <row r="18">
          <cell r="A18">
            <v>35156</v>
          </cell>
          <cell r="B18">
            <v>2.536</v>
          </cell>
        </row>
        <row r="19">
          <cell r="A19">
            <v>35186</v>
          </cell>
          <cell r="B19">
            <v>2.198</v>
          </cell>
        </row>
        <row r="20">
          <cell r="A20">
            <v>35217</v>
          </cell>
          <cell r="B20">
            <v>2.339</v>
          </cell>
        </row>
        <row r="21">
          <cell r="A21">
            <v>35247</v>
          </cell>
          <cell r="B21">
            <v>2.61</v>
          </cell>
        </row>
        <row r="22">
          <cell r="A22">
            <v>35278</v>
          </cell>
          <cell r="B22">
            <v>2.2570000000000001</v>
          </cell>
        </row>
        <row r="23">
          <cell r="A23">
            <v>35309</v>
          </cell>
          <cell r="B23">
            <v>1.8280000000000001</v>
          </cell>
        </row>
        <row r="24">
          <cell r="A24">
            <v>35339</v>
          </cell>
          <cell r="B24">
            <v>2.0449999999999999</v>
          </cell>
        </row>
        <row r="25">
          <cell r="A25">
            <v>35370</v>
          </cell>
          <cell r="B25">
            <v>2.63</v>
          </cell>
        </row>
        <row r="26">
          <cell r="A26">
            <v>35400</v>
          </cell>
          <cell r="B26">
            <v>3.355</v>
          </cell>
        </row>
        <row r="27">
          <cell r="A27">
            <v>35431</v>
          </cell>
          <cell r="B27">
            <v>3.851</v>
          </cell>
        </row>
        <row r="28">
          <cell r="A28">
            <v>35462</v>
          </cell>
          <cell r="B28">
            <v>2.669</v>
          </cell>
        </row>
        <row r="29">
          <cell r="A29">
            <v>35490</v>
          </cell>
          <cell r="B29">
            <v>1.8540000000000001</v>
          </cell>
        </row>
        <row r="30">
          <cell r="A30">
            <v>35521</v>
          </cell>
          <cell r="B30">
            <v>1.893</v>
          </cell>
        </row>
        <row r="31">
          <cell r="A31">
            <v>35551</v>
          </cell>
          <cell r="B31">
            <v>2.1459999999999999</v>
          </cell>
        </row>
        <row r="32">
          <cell r="A32">
            <v>35582</v>
          </cell>
          <cell r="B32">
            <v>2.1930000000000001</v>
          </cell>
        </row>
        <row r="33">
          <cell r="A33">
            <v>35612</v>
          </cell>
          <cell r="B33">
            <v>2.1800000000000002</v>
          </cell>
        </row>
        <row r="34">
          <cell r="A34">
            <v>35643</v>
          </cell>
          <cell r="B34">
            <v>2.306</v>
          </cell>
        </row>
        <row r="35">
          <cell r="A35">
            <v>35674</v>
          </cell>
          <cell r="B35">
            <v>2.629</v>
          </cell>
        </row>
        <row r="36">
          <cell r="A36">
            <v>35704</v>
          </cell>
          <cell r="B36">
            <v>2.899</v>
          </cell>
        </row>
        <row r="37">
          <cell r="A37">
            <v>35735</v>
          </cell>
          <cell r="B37">
            <v>3.1789999999999998</v>
          </cell>
        </row>
        <row r="38">
          <cell r="A38">
            <v>35765</v>
          </cell>
          <cell r="B38">
            <v>2.3759999999999999</v>
          </cell>
        </row>
        <row r="39">
          <cell r="A39">
            <v>35796</v>
          </cell>
          <cell r="B39">
            <v>2.1139999999999999</v>
          </cell>
        </row>
        <row r="40">
          <cell r="A40">
            <v>35827</v>
          </cell>
          <cell r="B40">
            <v>2.169</v>
          </cell>
        </row>
        <row r="41">
          <cell r="A41">
            <v>35855</v>
          </cell>
          <cell r="B41">
            <v>2.2149999999999999</v>
          </cell>
        </row>
        <row r="42">
          <cell r="A42">
            <v>35886</v>
          </cell>
          <cell r="B42">
            <v>2.448</v>
          </cell>
        </row>
        <row r="43">
          <cell r="A43">
            <v>35916</v>
          </cell>
          <cell r="B43">
            <v>2.19</v>
          </cell>
        </row>
        <row r="44">
          <cell r="A44">
            <v>35947</v>
          </cell>
          <cell r="B44">
            <v>2.1320000000000001</v>
          </cell>
        </row>
        <row r="45">
          <cell r="A45">
            <v>35977</v>
          </cell>
          <cell r="B45">
            <v>2.2509999999999999</v>
          </cell>
        </row>
        <row r="46">
          <cell r="A46">
            <v>36008</v>
          </cell>
          <cell r="B46">
            <v>1.883</v>
          </cell>
        </row>
        <row r="47">
          <cell r="A47">
            <v>36039</v>
          </cell>
          <cell r="B47">
            <v>1.919</v>
          </cell>
        </row>
        <row r="48">
          <cell r="A48">
            <v>36069</v>
          </cell>
          <cell r="B48">
            <v>1.9590000000000001</v>
          </cell>
        </row>
        <row r="49">
          <cell r="A49">
            <v>36100</v>
          </cell>
          <cell r="B49">
            <v>2.0680000000000001</v>
          </cell>
        </row>
        <row r="50">
          <cell r="A50">
            <v>36130</v>
          </cell>
          <cell r="B50">
            <v>1.7330000000000001</v>
          </cell>
        </row>
        <row r="51">
          <cell r="A51">
            <v>36161</v>
          </cell>
          <cell r="B51">
            <v>1.855</v>
          </cell>
        </row>
        <row r="52">
          <cell r="A52">
            <v>36192</v>
          </cell>
          <cell r="B52">
            <v>1.7749999999999999</v>
          </cell>
        </row>
        <row r="53">
          <cell r="A53">
            <v>36220</v>
          </cell>
          <cell r="B53">
            <v>1.754</v>
          </cell>
        </row>
        <row r="54">
          <cell r="A54">
            <v>36251</v>
          </cell>
          <cell r="B54">
            <v>2.0430000000000001</v>
          </cell>
        </row>
        <row r="55">
          <cell r="A55">
            <v>36281</v>
          </cell>
          <cell r="B55">
            <v>2.2589999999999999</v>
          </cell>
        </row>
        <row r="56">
          <cell r="A56">
            <v>36312</v>
          </cell>
          <cell r="B56">
            <v>2.2789999999999999</v>
          </cell>
        </row>
        <row r="57">
          <cell r="A57">
            <v>36342</v>
          </cell>
          <cell r="B57">
            <v>2.2210000000000001</v>
          </cell>
        </row>
        <row r="58">
          <cell r="A58">
            <v>36373</v>
          </cell>
          <cell r="B58">
            <v>2.738</v>
          </cell>
        </row>
        <row r="59">
          <cell r="A59">
            <v>36404</v>
          </cell>
          <cell r="B59">
            <v>2.605</v>
          </cell>
        </row>
        <row r="60">
          <cell r="A60">
            <v>36434</v>
          </cell>
          <cell r="B60">
            <v>2.625</v>
          </cell>
        </row>
        <row r="61">
          <cell r="A61">
            <v>36465</v>
          </cell>
          <cell r="B61">
            <v>2.4700000000000002</v>
          </cell>
        </row>
        <row r="62">
          <cell r="A62">
            <v>36495</v>
          </cell>
          <cell r="B62">
            <v>2.3450000000000002</v>
          </cell>
        </row>
        <row r="63">
          <cell r="A63">
            <v>36526</v>
          </cell>
          <cell r="B63">
            <v>2.375</v>
          </cell>
        </row>
        <row r="64">
          <cell r="A64">
            <v>36557</v>
          </cell>
          <cell r="B64">
            <v>2.6389999999999998</v>
          </cell>
        </row>
        <row r="65">
          <cell r="A65">
            <v>36586</v>
          </cell>
          <cell r="B65">
            <v>2.7389999999999999</v>
          </cell>
        </row>
        <row r="66">
          <cell r="A66">
            <v>36617</v>
          </cell>
          <cell r="B66">
            <v>2.9849999999999999</v>
          </cell>
        </row>
        <row r="67">
          <cell r="A67">
            <v>36647</v>
          </cell>
          <cell r="B67">
            <v>3.411</v>
          </cell>
        </row>
        <row r="68">
          <cell r="A68">
            <v>36678</v>
          </cell>
          <cell r="B68">
            <v>4.2709999999999999</v>
          </cell>
        </row>
        <row r="69">
          <cell r="A69">
            <v>36708</v>
          </cell>
          <cell r="B69">
            <v>4.0659999999999998</v>
          </cell>
        </row>
        <row r="70">
          <cell r="A70">
            <v>36739</v>
          </cell>
          <cell r="B70">
            <v>4.3289999999999997</v>
          </cell>
        </row>
        <row r="71">
          <cell r="A71">
            <v>36770</v>
          </cell>
          <cell r="B71">
            <v>4.9189999999999996</v>
          </cell>
        </row>
        <row r="72">
          <cell r="A72">
            <v>36800</v>
          </cell>
          <cell r="B72">
            <v>5.101</v>
          </cell>
        </row>
        <row r="73">
          <cell r="A73">
            <v>36831</v>
          </cell>
          <cell r="B73">
            <v>5.3540000000000001</v>
          </cell>
        </row>
        <row r="74">
          <cell r="A74">
            <v>36861</v>
          </cell>
          <cell r="B74">
            <v>8.0909999999999993</v>
          </cell>
        </row>
        <row r="75">
          <cell r="A75">
            <v>36892</v>
          </cell>
          <cell r="B75">
            <v>8.8379999999999992</v>
          </cell>
        </row>
        <row r="76">
          <cell r="A76">
            <v>36923</v>
          </cell>
          <cell r="B76">
            <v>5.6980000000000004</v>
          </cell>
        </row>
        <row r="77">
          <cell r="A77">
            <v>36951</v>
          </cell>
          <cell r="B77">
            <v>5.1150000000000002</v>
          </cell>
        </row>
        <row r="78">
          <cell r="A78">
            <v>36982</v>
          </cell>
          <cell r="B78">
            <v>5.24</v>
          </cell>
        </row>
        <row r="79">
          <cell r="A79">
            <v>37012</v>
          </cell>
          <cell r="B79">
            <v>4.2759999999999998</v>
          </cell>
        </row>
        <row r="80">
          <cell r="A80">
            <v>37043</v>
          </cell>
          <cell r="B80">
            <v>3.835</v>
          </cell>
        </row>
        <row r="81">
          <cell r="A81">
            <v>37073</v>
          </cell>
          <cell r="B81">
            <v>3.1309999999999998</v>
          </cell>
        </row>
        <row r="82">
          <cell r="A82">
            <v>37104</v>
          </cell>
          <cell r="B82">
            <v>3.11</v>
          </cell>
        </row>
        <row r="83">
          <cell r="A83">
            <v>37135</v>
          </cell>
          <cell r="B83">
            <v>2.2989999999999999</v>
          </cell>
        </row>
        <row r="84">
          <cell r="A84">
            <v>37165</v>
          </cell>
          <cell r="B84">
            <v>2.4020000000000001</v>
          </cell>
        </row>
        <row r="85">
          <cell r="A85">
            <v>37196</v>
          </cell>
          <cell r="B85">
            <v>2.411</v>
          </cell>
        </row>
        <row r="86">
          <cell r="A86">
            <v>37226</v>
          </cell>
          <cell r="B86">
            <v>2.387</v>
          </cell>
        </row>
        <row r="87">
          <cell r="A87">
            <v>37257</v>
          </cell>
          <cell r="B87">
            <v>2.274</v>
          </cell>
        </row>
        <row r="88">
          <cell r="A88">
            <v>37288</v>
          </cell>
          <cell r="B88">
            <v>2.2690000000000001</v>
          </cell>
        </row>
        <row r="89">
          <cell r="A89">
            <v>37316</v>
          </cell>
          <cell r="B89">
            <v>2.9329999999999998</v>
          </cell>
        </row>
        <row r="90">
          <cell r="A90">
            <v>37347</v>
          </cell>
          <cell r="B90">
            <v>3.448</v>
          </cell>
        </row>
        <row r="91">
          <cell r="A91">
            <v>37377</v>
          </cell>
          <cell r="B91">
            <v>3.4830000000000001</v>
          </cell>
        </row>
        <row r="92">
          <cell r="A92">
            <v>37408</v>
          </cell>
          <cell r="B92">
            <v>3.23</v>
          </cell>
        </row>
        <row r="93">
          <cell r="A93">
            <v>37438</v>
          </cell>
          <cell r="B93">
            <v>3.05</v>
          </cell>
        </row>
        <row r="94">
          <cell r="A94">
            <v>37469</v>
          </cell>
          <cell r="B94">
            <v>3.07</v>
          </cell>
        </row>
        <row r="95">
          <cell r="A95">
            <v>37500</v>
          </cell>
          <cell r="B95">
            <v>3.4910000000000001</v>
          </cell>
        </row>
        <row r="96">
          <cell r="A96">
            <v>37530</v>
          </cell>
          <cell r="B96">
            <v>4.0830000000000002</v>
          </cell>
        </row>
        <row r="97">
          <cell r="A97">
            <v>37561</v>
          </cell>
          <cell r="B97">
            <v>4.0709999999999997</v>
          </cell>
        </row>
        <row r="98">
          <cell r="A98">
            <v>37591</v>
          </cell>
          <cell r="B98">
            <v>4.6379999999999999</v>
          </cell>
        </row>
        <row r="99">
          <cell r="A99">
            <v>37622</v>
          </cell>
          <cell r="B99">
            <v>5.3529999999999998</v>
          </cell>
        </row>
        <row r="100">
          <cell r="A100">
            <v>37653</v>
          </cell>
          <cell r="B100">
            <v>7.2919999999999998</v>
          </cell>
        </row>
        <row r="101">
          <cell r="A101">
            <v>37681</v>
          </cell>
          <cell r="B101">
            <v>6.8330000000000002</v>
          </cell>
        </row>
        <row r="102">
          <cell r="A102">
            <v>37712</v>
          </cell>
          <cell r="B102">
            <v>5.2460000000000004</v>
          </cell>
        </row>
        <row r="103">
          <cell r="A103">
            <v>37742</v>
          </cell>
          <cell r="B103">
            <v>5.6470000000000002</v>
          </cell>
        </row>
        <row r="104">
          <cell r="A104">
            <v>37773</v>
          </cell>
          <cell r="B104">
            <v>5.16</v>
          </cell>
        </row>
        <row r="105">
          <cell r="A105">
            <v>37803</v>
          </cell>
          <cell r="B105">
            <v>5.0190000000000001</v>
          </cell>
        </row>
        <row r="106">
          <cell r="A106">
            <v>37834</v>
          </cell>
          <cell r="B106">
            <v>4.8330000000000002</v>
          </cell>
        </row>
        <row r="107">
          <cell r="A107">
            <v>37865</v>
          </cell>
          <cell r="B107">
            <v>4.5819999999999999</v>
          </cell>
        </row>
        <row r="108">
          <cell r="A108">
            <v>37895</v>
          </cell>
          <cell r="B108">
            <v>4.6130000000000004</v>
          </cell>
        </row>
        <row r="109">
          <cell r="A109">
            <v>37926</v>
          </cell>
          <cell r="B109">
            <v>4.4539999999999997</v>
          </cell>
        </row>
        <row r="110">
          <cell r="A110">
            <v>37956</v>
          </cell>
          <cell r="B110">
            <v>5.7830000000000004</v>
          </cell>
        </row>
        <row r="111">
          <cell r="A111">
            <v>37987</v>
          </cell>
          <cell r="B111">
            <v>6.0380000000000003</v>
          </cell>
        </row>
        <row r="112">
          <cell r="A112">
            <v>38018</v>
          </cell>
          <cell r="B112">
            <v>5.4539999999999997</v>
          </cell>
        </row>
        <row r="113">
          <cell r="A113">
            <v>38047</v>
          </cell>
          <cell r="B113">
            <v>5.34</v>
          </cell>
        </row>
        <row r="114">
          <cell r="A114">
            <v>38078</v>
          </cell>
          <cell r="B114">
            <v>5.6509999999999998</v>
          </cell>
        </row>
        <row r="115">
          <cell r="A115">
            <v>38108</v>
          </cell>
          <cell r="B115">
            <v>6.218</v>
          </cell>
        </row>
        <row r="116">
          <cell r="A116">
            <v>38139</v>
          </cell>
          <cell r="B116">
            <v>6.2080000000000002</v>
          </cell>
        </row>
        <row r="117">
          <cell r="A117">
            <v>38169</v>
          </cell>
          <cell r="B117">
            <v>5.915</v>
          </cell>
        </row>
        <row r="118">
          <cell r="A118">
            <v>38200</v>
          </cell>
          <cell r="B118">
            <v>5.34</v>
          </cell>
        </row>
        <row r="119">
          <cell r="A119">
            <v>38231</v>
          </cell>
          <cell r="B119">
            <v>5.0149999999999997</v>
          </cell>
        </row>
        <row r="120">
          <cell r="A120">
            <v>38261</v>
          </cell>
          <cell r="B120">
            <v>6.14</v>
          </cell>
        </row>
        <row r="121">
          <cell r="A121">
            <v>38292</v>
          </cell>
          <cell r="B121">
            <v>6.1580000000000004</v>
          </cell>
        </row>
        <row r="122">
          <cell r="A122">
            <v>38322</v>
          </cell>
          <cell r="B122">
            <v>6.5860000000000003</v>
          </cell>
        </row>
        <row r="123">
          <cell r="A123">
            <v>38353</v>
          </cell>
          <cell r="B123">
            <v>6.181</v>
          </cell>
        </row>
        <row r="124">
          <cell r="A124">
            <v>38384</v>
          </cell>
          <cell r="B124">
            <v>6.1609999999999996</v>
          </cell>
        </row>
        <row r="125">
          <cell r="A125">
            <v>38412</v>
          </cell>
          <cell r="B125">
            <v>6.1609999999999996</v>
          </cell>
        </row>
        <row r="126">
          <cell r="A126">
            <v>38443</v>
          </cell>
          <cell r="B126">
            <v>7.0960000000000001</v>
          </cell>
        </row>
        <row r="127">
          <cell r="A127">
            <v>38473</v>
          </cell>
          <cell r="B127">
            <v>6.508</v>
          </cell>
        </row>
        <row r="128">
          <cell r="A128">
            <v>38504</v>
          </cell>
          <cell r="B128">
            <v>7.0880000000000001</v>
          </cell>
        </row>
        <row r="129">
          <cell r="A129">
            <v>38534</v>
          </cell>
          <cell r="B129">
            <v>7.5519999999999996</v>
          </cell>
        </row>
        <row r="130">
          <cell r="A130">
            <v>38565</v>
          </cell>
          <cell r="B130">
            <v>9.343</v>
          </cell>
        </row>
        <row r="131">
          <cell r="A131">
            <v>38596</v>
          </cell>
          <cell r="B131">
            <v>12.372</v>
          </cell>
        </row>
        <row r="132">
          <cell r="A132">
            <v>38626</v>
          </cell>
          <cell r="B132">
            <v>12.823</v>
          </cell>
        </row>
        <row r="133">
          <cell r="A133">
            <v>38657</v>
          </cell>
          <cell r="B133">
            <v>9.8360000000000003</v>
          </cell>
        </row>
        <row r="134">
          <cell r="A134">
            <v>38930</v>
          </cell>
          <cell r="B134">
            <v>6.99</v>
          </cell>
        </row>
        <row r="135">
          <cell r="A135">
            <v>39022</v>
          </cell>
          <cell r="B135">
            <v>7.3879999999999999</v>
          </cell>
        </row>
        <row r="136">
          <cell r="A136">
            <v>43831</v>
          </cell>
        </row>
      </sheetData>
      <sheetData sheetId="71"/>
      <sheetData sheetId="72">
        <row r="8">
          <cell r="A8" t="str">
            <v>Effective</v>
          </cell>
          <cell r="B8" t="str">
            <v>Base</v>
          </cell>
          <cell r="C8" t="str">
            <v>ACA</v>
          </cell>
          <cell r="D8" t="str">
            <v>GRI</v>
          </cell>
          <cell r="E8" t="str">
            <v>GSR</v>
          </cell>
          <cell r="F8" t="str">
            <v>CDT</v>
          </cell>
          <cell r="G8" t="str">
            <v>TCRA</v>
          </cell>
          <cell r="H8" t="str">
            <v>TCSM</v>
          </cell>
          <cell r="I8" t="str">
            <v>PCB Adj</v>
          </cell>
          <cell r="J8" t="str">
            <v>Settlemnt</v>
          </cell>
          <cell r="K8" t="str">
            <v xml:space="preserve">Total </v>
          </cell>
          <cell r="M8" t="str">
            <v>Base</v>
          </cell>
          <cell r="N8" t="str">
            <v>ACA</v>
          </cell>
          <cell r="O8" t="str">
            <v>GRI</v>
          </cell>
          <cell r="P8" t="str">
            <v>GSR</v>
          </cell>
          <cell r="Q8" t="str">
            <v>CDT</v>
          </cell>
          <cell r="R8" t="str">
            <v>TCRA</v>
          </cell>
          <cell r="S8" t="str">
            <v>TCSM</v>
          </cell>
          <cell r="T8" t="str">
            <v>PCB Adj</v>
          </cell>
          <cell r="U8" t="str">
            <v>Settlemnt</v>
          </cell>
          <cell r="V8" t="str">
            <v xml:space="preserve">Total </v>
          </cell>
        </row>
        <row r="9">
          <cell r="A9">
            <v>34881</v>
          </cell>
          <cell r="B9">
            <v>0.73680000000000001</v>
          </cell>
          <cell r="C9">
            <v>2.2000000000000001E-3</v>
          </cell>
          <cell r="D9">
            <v>0.02</v>
          </cell>
          <cell r="E9">
            <v>0.1244</v>
          </cell>
          <cell r="F9">
            <v>4.8999999999999998E-3</v>
          </cell>
          <cell r="G9">
            <v>2.41E-2</v>
          </cell>
          <cell r="H9">
            <v>3.1E-2</v>
          </cell>
          <cell r="K9">
            <v>0.94340000000000002</v>
          </cell>
          <cell r="M9">
            <v>0.62409999999999999</v>
          </cell>
          <cell r="N9">
            <v>2.2000000000000001E-3</v>
          </cell>
          <cell r="O9">
            <v>0.02</v>
          </cell>
          <cell r="P9">
            <v>0.1244</v>
          </cell>
          <cell r="Q9">
            <v>4.8999999999999998E-3</v>
          </cell>
          <cell r="R9">
            <v>2.41E-2</v>
          </cell>
          <cell r="S9">
            <v>3.1E-2</v>
          </cell>
          <cell r="V9">
            <v>0.83069999999999999</v>
          </cell>
        </row>
        <row r="10">
          <cell r="A10">
            <v>35004</v>
          </cell>
          <cell r="B10">
            <v>0.73680000000000001</v>
          </cell>
          <cell r="C10">
            <v>2.2000000000000001E-3</v>
          </cell>
          <cell r="D10">
            <v>0.02</v>
          </cell>
          <cell r="E10">
            <v>0.10630000000000001</v>
          </cell>
          <cell r="F10">
            <v>2.7000000000000001E-3</v>
          </cell>
          <cell r="G10">
            <v>2.41E-2</v>
          </cell>
          <cell r="H10">
            <v>3.1E-2</v>
          </cell>
          <cell r="K10">
            <v>0.92310000000000003</v>
          </cell>
          <cell r="M10">
            <v>0.62409999999999999</v>
          </cell>
          <cell r="N10">
            <v>2.2000000000000001E-3</v>
          </cell>
          <cell r="O10">
            <v>0.02</v>
          </cell>
          <cell r="P10">
            <v>0.10630000000000001</v>
          </cell>
          <cell r="Q10">
            <v>2.7000000000000001E-3</v>
          </cell>
          <cell r="R10">
            <v>2.41E-2</v>
          </cell>
          <cell r="S10">
            <v>3.1E-2</v>
          </cell>
          <cell r="V10">
            <v>0.81040000000000001</v>
          </cell>
        </row>
        <row r="11">
          <cell r="A11">
            <v>35096</v>
          </cell>
          <cell r="B11">
            <v>0.73680000000000001</v>
          </cell>
          <cell r="C11">
            <v>2.2000000000000001E-3</v>
          </cell>
          <cell r="D11">
            <v>0.02</v>
          </cell>
          <cell r="E11">
            <v>0.1024</v>
          </cell>
          <cell r="F11">
            <v>2.7000000000000001E-3</v>
          </cell>
          <cell r="G11">
            <v>1.4800000000000001E-2</v>
          </cell>
          <cell r="H11">
            <v>0</v>
          </cell>
          <cell r="K11">
            <v>0.87890000000000013</v>
          </cell>
          <cell r="M11">
            <v>0.62409999999999999</v>
          </cell>
          <cell r="N11">
            <v>2.2000000000000001E-3</v>
          </cell>
          <cell r="O11">
            <v>0.02</v>
          </cell>
          <cell r="P11">
            <v>0.1024</v>
          </cell>
          <cell r="Q11">
            <v>2.7000000000000001E-3</v>
          </cell>
          <cell r="R11">
            <v>1.4800000000000001E-2</v>
          </cell>
          <cell r="S11">
            <v>0</v>
          </cell>
          <cell r="V11">
            <v>0.7662000000000001</v>
          </cell>
        </row>
        <row r="12">
          <cell r="A12">
            <v>35186</v>
          </cell>
          <cell r="B12">
            <v>0.71760000000000002</v>
          </cell>
          <cell r="C12">
            <v>2.2000000000000001E-3</v>
          </cell>
          <cell r="D12">
            <v>0.02</v>
          </cell>
          <cell r="E12">
            <v>0.1145</v>
          </cell>
          <cell r="F12">
            <v>0</v>
          </cell>
          <cell r="G12">
            <v>1.4800000000000001E-2</v>
          </cell>
          <cell r="H12">
            <v>0</v>
          </cell>
          <cell r="K12">
            <v>0.86910000000000009</v>
          </cell>
          <cell r="M12">
            <v>0.60709999999999997</v>
          </cell>
          <cell r="N12">
            <v>2.2000000000000001E-3</v>
          </cell>
          <cell r="O12">
            <v>0.02</v>
          </cell>
          <cell r="P12">
            <v>0.1145</v>
          </cell>
          <cell r="Q12">
            <v>0</v>
          </cell>
          <cell r="R12">
            <v>1.4800000000000001E-2</v>
          </cell>
          <cell r="S12">
            <v>0</v>
          </cell>
          <cell r="V12">
            <v>0.75860000000000005</v>
          </cell>
        </row>
        <row r="13">
          <cell r="A13">
            <v>35278</v>
          </cell>
          <cell r="B13">
            <v>0.71760000000000002</v>
          </cell>
          <cell r="C13">
            <v>2.2000000000000001E-3</v>
          </cell>
          <cell r="D13">
            <v>0.02</v>
          </cell>
          <cell r="E13">
            <v>0.1419</v>
          </cell>
          <cell r="F13">
            <v>0</v>
          </cell>
          <cell r="G13">
            <v>1.4800000000000001E-2</v>
          </cell>
          <cell r="H13">
            <v>0</v>
          </cell>
          <cell r="K13">
            <v>0.89650000000000007</v>
          </cell>
          <cell r="M13">
            <v>0.60709999999999997</v>
          </cell>
          <cell r="N13">
            <v>2.2000000000000001E-3</v>
          </cell>
          <cell r="O13">
            <v>0.02</v>
          </cell>
          <cell r="P13">
            <v>0.1419</v>
          </cell>
          <cell r="Q13">
            <v>0</v>
          </cell>
          <cell r="R13">
            <v>1.4800000000000001E-2</v>
          </cell>
          <cell r="S13">
            <v>0</v>
          </cell>
          <cell r="V13">
            <v>0.78600000000000003</v>
          </cell>
        </row>
        <row r="14">
          <cell r="A14">
            <v>35400</v>
          </cell>
          <cell r="B14">
            <v>0.71760000000000002</v>
          </cell>
          <cell r="C14">
            <v>1.9E-3</v>
          </cell>
          <cell r="D14">
            <v>0.02</v>
          </cell>
          <cell r="E14">
            <v>0.22070000000000001</v>
          </cell>
          <cell r="F14">
            <v>0</v>
          </cell>
          <cell r="G14">
            <v>1.4800000000000001E-2</v>
          </cell>
          <cell r="H14">
            <v>0</v>
          </cell>
          <cell r="K14">
            <v>0.97500000000000009</v>
          </cell>
          <cell r="M14">
            <v>0.60709999999999997</v>
          </cell>
          <cell r="N14">
            <v>1.9E-3</v>
          </cell>
          <cell r="O14">
            <v>0.02</v>
          </cell>
          <cell r="P14">
            <v>0.22070000000000001</v>
          </cell>
          <cell r="Q14">
            <v>0</v>
          </cell>
          <cell r="R14">
            <v>1.4800000000000001E-2</v>
          </cell>
          <cell r="S14">
            <v>0</v>
          </cell>
          <cell r="V14">
            <v>0.86450000000000005</v>
          </cell>
        </row>
        <row r="15">
          <cell r="A15">
            <v>35462</v>
          </cell>
          <cell r="B15">
            <v>0.71760000000000002</v>
          </cell>
          <cell r="C15">
            <v>1.9E-3</v>
          </cell>
          <cell r="D15">
            <v>0.02</v>
          </cell>
          <cell r="E15">
            <v>0.22070000000000001</v>
          </cell>
          <cell r="F15">
            <v>0</v>
          </cell>
          <cell r="G15">
            <v>1.37E-2</v>
          </cell>
          <cell r="H15">
            <v>0</v>
          </cell>
          <cell r="K15">
            <v>0.9739000000000001</v>
          </cell>
          <cell r="M15">
            <v>0.60709999999999997</v>
          </cell>
          <cell r="N15">
            <v>1.9E-3</v>
          </cell>
          <cell r="O15">
            <v>0.02</v>
          </cell>
          <cell r="P15">
            <v>0.22070000000000001</v>
          </cell>
          <cell r="Q15">
            <v>0</v>
          </cell>
          <cell r="R15">
            <v>1.37E-2</v>
          </cell>
          <cell r="S15">
            <v>0</v>
          </cell>
          <cell r="V15">
            <v>0.86340000000000006</v>
          </cell>
        </row>
        <row r="16">
          <cell r="A16">
            <v>35490</v>
          </cell>
          <cell r="B16">
            <v>0.58560000000000001</v>
          </cell>
          <cell r="C16">
            <v>1.9E-3</v>
          </cell>
          <cell r="D16">
            <v>0.02</v>
          </cell>
          <cell r="E16">
            <v>0.22070000000000001</v>
          </cell>
          <cell r="F16">
            <v>0</v>
          </cell>
          <cell r="G16">
            <v>1.37E-2</v>
          </cell>
          <cell r="H16">
            <v>0</v>
          </cell>
          <cell r="K16">
            <v>0.84190000000000009</v>
          </cell>
          <cell r="M16">
            <v>0.49569999999999997</v>
          </cell>
          <cell r="N16">
            <v>1.9E-3</v>
          </cell>
          <cell r="O16">
            <v>0.02</v>
          </cell>
          <cell r="P16">
            <v>0.22070000000000001</v>
          </cell>
          <cell r="Q16">
            <v>0</v>
          </cell>
          <cell r="R16">
            <v>1.37E-2</v>
          </cell>
          <cell r="S16">
            <v>0</v>
          </cell>
          <cell r="V16">
            <v>0.752</v>
          </cell>
        </row>
        <row r="17">
          <cell r="A17">
            <v>35551</v>
          </cell>
          <cell r="B17">
            <v>0.58560000000000001</v>
          </cell>
          <cell r="C17">
            <v>1.9E-3</v>
          </cell>
          <cell r="D17">
            <v>0.02</v>
          </cell>
          <cell r="E17">
            <v>0</v>
          </cell>
          <cell r="F17">
            <v>0</v>
          </cell>
          <cell r="G17">
            <v>0</v>
          </cell>
          <cell r="H17">
            <v>0</v>
          </cell>
          <cell r="I17">
            <v>1.9199999999999998E-2</v>
          </cell>
          <cell r="J17">
            <v>8.9300000000000004E-2</v>
          </cell>
          <cell r="K17">
            <v>0.71600000000000008</v>
          </cell>
          <cell r="M17">
            <v>0.49569999999999997</v>
          </cell>
          <cell r="N17">
            <v>1.9E-3</v>
          </cell>
          <cell r="O17">
            <v>0.02</v>
          </cell>
          <cell r="P17">
            <v>0</v>
          </cell>
          <cell r="Q17">
            <v>0</v>
          </cell>
          <cell r="R17">
            <v>0</v>
          </cell>
          <cell r="S17">
            <v>0</v>
          </cell>
          <cell r="T17">
            <v>1.7000000000000001E-2</v>
          </cell>
          <cell r="U17">
            <v>8.9300000000000004E-2</v>
          </cell>
          <cell r="V17">
            <v>0.62390000000000001</v>
          </cell>
        </row>
        <row r="18">
          <cell r="A18">
            <v>35704</v>
          </cell>
          <cell r="B18">
            <v>0.58560000000000001</v>
          </cell>
          <cell r="C18">
            <v>2.2000000000000001E-3</v>
          </cell>
          <cell r="D18">
            <v>0.02</v>
          </cell>
          <cell r="E18">
            <v>0</v>
          </cell>
          <cell r="F18">
            <v>0</v>
          </cell>
          <cell r="G18">
            <v>0</v>
          </cell>
          <cell r="H18">
            <v>0</v>
          </cell>
          <cell r="I18">
            <v>1.9199999999999998E-2</v>
          </cell>
          <cell r="J18">
            <v>8.9300000000000004E-2</v>
          </cell>
          <cell r="K18">
            <v>0.71630000000000005</v>
          </cell>
          <cell r="M18">
            <v>0.49569999999999997</v>
          </cell>
          <cell r="N18">
            <v>2.2000000000000001E-3</v>
          </cell>
          <cell r="O18">
            <v>0.02</v>
          </cell>
          <cell r="P18">
            <v>0</v>
          </cell>
          <cell r="Q18">
            <v>0</v>
          </cell>
          <cell r="R18">
            <v>0</v>
          </cell>
          <cell r="S18">
            <v>0</v>
          </cell>
          <cell r="T18">
            <v>1.7000000000000001E-2</v>
          </cell>
          <cell r="U18">
            <v>8.9300000000000004E-2</v>
          </cell>
          <cell r="V18">
            <v>0.62419999999999998</v>
          </cell>
        </row>
        <row r="19">
          <cell r="A19">
            <v>36281</v>
          </cell>
          <cell r="B19">
            <v>0.58440000000000003</v>
          </cell>
          <cell r="C19">
            <v>2.2000000000000001E-3</v>
          </cell>
          <cell r="D19">
            <v>1.7999999999999999E-2</v>
          </cell>
          <cell r="E19">
            <v>0</v>
          </cell>
          <cell r="F19">
            <v>0</v>
          </cell>
          <cell r="G19">
            <v>0</v>
          </cell>
          <cell r="H19">
            <v>0</v>
          </cell>
          <cell r="I19">
            <v>1.9199999999999998E-2</v>
          </cell>
          <cell r="J19">
            <v>0</v>
          </cell>
          <cell r="K19">
            <v>0.62380000000000002</v>
          </cell>
          <cell r="M19">
            <v>0.49509999999999998</v>
          </cell>
          <cell r="N19">
            <v>2.2000000000000001E-3</v>
          </cell>
          <cell r="O19">
            <v>1.7999999999999999E-2</v>
          </cell>
          <cell r="P19">
            <v>0</v>
          </cell>
          <cell r="Q19">
            <v>0</v>
          </cell>
          <cell r="R19">
            <v>0</v>
          </cell>
          <cell r="S19">
            <v>0</v>
          </cell>
          <cell r="T19">
            <v>1.7000000000000001E-2</v>
          </cell>
          <cell r="U19">
            <v>0</v>
          </cell>
          <cell r="V19">
            <v>0.5323</v>
          </cell>
        </row>
        <row r="20">
          <cell r="A20">
            <v>36831</v>
          </cell>
          <cell r="B20">
            <v>0.58440000000000003</v>
          </cell>
          <cell r="C20">
            <v>2.2000000000000001E-3</v>
          </cell>
          <cell r="D20">
            <v>1.6E-2</v>
          </cell>
          <cell r="E20">
            <v>0</v>
          </cell>
          <cell r="F20">
            <v>0</v>
          </cell>
          <cell r="G20">
            <v>0</v>
          </cell>
          <cell r="H20">
            <v>0</v>
          </cell>
          <cell r="I20">
            <v>0</v>
          </cell>
          <cell r="J20">
            <v>0</v>
          </cell>
          <cell r="K20">
            <v>0.60260000000000002</v>
          </cell>
          <cell r="M20">
            <v>0.49509999999999998</v>
          </cell>
          <cell r="N20">
            <v>2.2000000000000001E-3</v>
          </cell>
          <cell r="O20">
            <v>1.6E-2</v>
          </cell>
          <cell r="P20">
            <v>0</v>
          </cell>
          <cell r="Q20">
            <v>0</v>
          </cell>
          <cell r="R20">
            <v>0</v>
          </cell>
          <cell r="S20">
            <v>0</v>
          </cell>
          <cell r="T20">
            <v>0</v>
          </cell>
          <cell r="U20">
            <v>0</v>
          </cell>
          <cell r="V20">
            <v>0.51329999999999998</v>
          </cell>
        </row>
        <row r="21">
          <cell r="A21">
            <v>37043</v>
          </cell>
          <cell r="B21">
            <v>0.58440000000000003</v>
          </cell>
          <cell r="C21">
            <v>2.2000000000000001E-3</v>
          </cell>
          <cell r="D21">
            <v>1.0999999999999999E-2</v>
          </cell>
          <cell r="E21">
            <v>0</v>
          </cell>
          <cell r="F21">
            <v>0</v>
          </cell>
          <cell r="G21">
            <v>0</v>
          </cell>
          <cell r="H21">
            <v>0</v>
          </cell>
          <cell r="I21">
            <v>0</v>
          </cell>
          <cell r="J21">
            <v>0</v>
          </cell>
          <cell r="K21">
            <v>0.59760000000000002</v>
          </cell>
          <cell r="M21">
            <v>0.49509999999999998</v>
          </cell>
          <cell r="N21">
            <v>2.2000000000000001E-3</v>
          </cell>
          <cell r="O21">
            <v>1.0999999999999999E-2</v>
          </cell>
          <cell r="P21">
            <v>0</v>
          </cell>
          <cell r="Q21">
            <v>0</v>
          </cell>
          <cell r="R21">
            <v>0</v>
          </cell>
          <cell r="S21">
            <v>0</v>
          </cell>
          <cell r="T21">
            <v>0</v>
          </cell>
          <cell r="U21">
            <v>0</v>
          </cell>
          <cell r="V21">
            <v>0.50829999999999997</v>
          </cell>
        </row>
        <row r="22">
          <cell r="A22">
            <v>37561</v>
          </cell>
          <cell r="B22">
            <v>0.58440000000000003</v>
          </cell>
          <cell r="C22">
            <v>2.0999999999999999E-3</v>
          </cell>
          <cell r="D22">
            <v>8.8000000000000005E-3</v>
          </cell>
          <cell r="E22">
            <v>0</v>
          </cell>
          <cell r="F22">
            <v>0</v>
          </cell>
          <cell r="G22">
            <v>0</v>
          </cell>
          <cell r="H22">
            <v>0</v>
          </cell>
          <cell r="I22">
            <v>0</v>
          </cell>
          <cell r="J22">
            <v>0</v>
          </cell>
          <cell r="K22">
            <v>0.59530000000000005</v>
          </cell>
          <cell r="M22">
            <v>0.49509999999999998</v>
          </cell>
          <cell r="N22">
            <v>2.0999999999999999E-3</v>
          </cell>
          <cell r="O22">
            <v>8.8000000000000005E-3</v>
          </cell>
          <cell r="P22">
            <v>0</v>
          </cell>
          <cell r="Q22">
            <v>0</v>
          </cell>
          <cell r="R22">
            <v>0</v>
          </cell>
          <cell r="S22">
            <v>0</v>
          </cell>
          <cell r="T22">
            <v>0</v>
          </cell>
          <cell r="U22">
            <v>0</v>
          </cell>
          <cell r="V22">
            <v>0.50600000000000001</v>
          </cell>
        </row>
        <row r="23">
          <cell r="A23">
            <v>37834</v>
          </cell>
          <cell r="B23">
            <v>0.58440000000000003</v>
          </cell>
          <cell r="C23">
            <v>2.0999999999999999E-3</v>
          </cell>
          <cell r="D23">
            <v>6.0000000000000001E-3</v>
          </cell>
          <cell r="E23">
            <v>0</v>
          </cell>
          <cell r="F23">
            <v>0</v>
          </cell>
          <cell r="G23">
            <v>0</v>
          </cell>
          <cell r="H23">
            <v>0</v>
          </cell>
          <cell r="I23">
            <v>0</v>
          </cell>
          <cell r="J23">
            <v>0</v>
          </cell>
          <cell r="K23">
            <v>0.59250000000000003</v>
          </cell>
          <cell r="M23">
            <v>0.49509999999999998</v>
          </cell>
          <cell r="N23">
            <v>2.0999999999999999E-3</v>
          </cell>
          <cell r="O23">
            <v>6.0000000000000001E-3</v>
          </cell>
          <cell r="P23">
            <v>0</v>
          </cell>
          <cell r="Q23">
            <v>0</v>
          </cell>
          <cell r="R23">
            <v>0</v>
          </cell>
          <cell r="S23">
            <v>0</v>
          </cell>
          <cell r="T23">
            <v>0</v>
          </cell>
          <cell r="U23">
            <v>0</v>
          </cell>
          <cell r="V23">
            <v>0.50319999999999998</v>
          </cell>
        </row>
        <row r="24">
          <cell r="A24">
            <v>38200</v>
          </cell>
          <cell r="B24">
            <v>0.58440000000000003</v>
          </cell>
          <cell r="C24">
            <v>2.0999999999999999E-3</v>
          </cell>
          <cell r="D24">
            <v>0</v>
          </cell>
          <cell r="E24" t="str">
            <v/>
          </cell>
          <cell r="F24">
            <v>0</v>
          </cell>
          <cell r="K24">
            <v>0.58650000000000002</v>
          </cell>
          <cell r="M24">
            <v>0.49509999999999998</v>
          </cell>
          <cell r="N24">
            <v>2.0999999999999999E-3</v>
          </cell>
          <cell r="O24">
            <v>0</v>
          </cell>
          <cell r="P24">
            <v>0</v>
          </cell>
          <cell r="Q24">
            <v>0</v>
          </cell>
          <cell r="R24">
            <v>0</v>
          </cell>
          <cell r="S24">
            <v>0</v>
          </cell>
          <cell r="T24">
            <v>0</v>
          </cell>
          <cell r="U24">
            <v>0</v>
          </cell>
          <cell r="V24">
            <v>0.49719999999999998</v>
          </cell>
        </row>
        <row r="25">
          <cell r="A25">
            <v>38384</v>
          </cell>
          <cell r="B25">
            <v>0.58440000000000003</v>
          </cell>
          <cell r="C25">
            <v>1.9E-3</v>
          </cell>
          <cell r="D25">
            <v>0</v>
          </cell>
          <cell r="E25" t="str">
            <v/>
          </cell>
          <cell r="F25">
            <v>0</v>
          </cell>
          <cell r="K25">
            <v>0.58630000000000004</v>
          </cell>
          <cell r="M25">
            <v>0.49509999999999998</v>
          </cell>
          <cell r="N25">
            <v>1.9E-3</v>
          </cell>
          <cell r="O25">
            <v>0</v>
          </cell>
          <cell r="P25">
            <v>0</v>
          </cell>
          <cell r="Q25">
            <v>0</v>
          </cell>
          <cell r="R25">
            <v>0</v>
          </cell>
          <cell r="S25">
            <v>0</v>
          </cell>
          <cell r="T25">
            <v>0</v>
          </cell>
          <cell r="U25">
            <v>0</v>
          </cell>
          <cell r="V25">
            <v>0.497</v>
          </cell>
        </row>
        <row r="26">
          <cell r="A26">
            <v>38473</v>
          </cell>
          <cell r="B26">
            <v>0.58440000000000003</v>
          </cell>
          <cell r="C26">
            <v>1.9E-3</v>
          </cell>
          <cell r="D26">
            <v>0</v>
          </cell>
          <cell r="E26" t="str">
            <v/>
          </cell>
          <cell r="F26">
            <v>0</v>
          </cell>
          <cell r="K26">
            <v>0.58630000000000004</v>
          </cell>
          <cell r="M26">
            <v>0.49509999999999998</v>
          </cell>
          <cell r="N26">
            <v>1.9E-3</v>
          </cell>
          <cell r="O26">
            <v>0</v>
          </cell>
          <cell r="P26">
            <v>0</v>
          </cell>
          <cell r="Q26">
            <v>0</v>
          </cell>
          <cell r="R26">
            <v>0</v>
          </cell>
          <cell r="S26">
            <v>0</v>
          </cell>
          <cell r="T26">
            <v>0</v>
          </cell>
          <cell r="U26">
            <v>0</v>
          </cell>
          <cell r="V26">
            <v>0.497</v>
          </cell>
        </row>
        <row r="27">
          <cell r="A27">
            <v>38687</v>
          </cell>
          <cell r="B27">
            <v>0.58440000000000003</v>
          </cell>
          <cell r="C27">
            <v>1.8E-3</v>
          </cell>
          <cell r="D27">
            <v>0</v>
          </cell>
          <cell r="E27" t="str">
            <v/>
          </cell>
          <cell r="F27">
            <v>0</v>
          </cell>
          <cell r="K27">
            <v>0.58620000000000005</v>
          </cell>
          <cell r="M27">
            <v>0.49509999999999998</v>
          </cell>
          <cell r="N27">
            <v>1.8E-3</v>
          </cell>
          <cell r="O27">
            <v>0</v>
          </cell>
          <cell r="P27">
            <v>0</v>
          </cell>
          <cell r="Q27">
            <v>0</v>
          </cell>
          <cell r="R27">
            <v>0</v>
          </cell>
          <cell r="S27">
            <v>0</v>
          </cell>
          <cell r="T27">
            <v>0</v>
          </cell>
          <cell r="U27">
            <v>0</v>
          </cell>
          <cell r="V27">
            <v>0.49690000000000001</v>
          </cell>
        </row>
        <row r="28">
          <cell r="A28">
            <v>39114</v>
          </cell>
          <cell r="B28">
            <v>0.58440000000000003</v>
          </cell>
          <cell r="C28">
            <v>1.6000000000000001E-3</v>
          </cell>
          <cell r="D28">
            <v>0</v>
          </cell>
          <cell r="E28" t="str">
            <v/>
          </cell>
          <cell r="F28">
            <v>0</v>
          </cell>
          <cell r="K28">
            <v>0.58600000000000008</v>
          </cell>
          <cell r="M28">
            <v>0.49509999999999998</v>
          </cell>
          <cell r="N28">
            <v>1.6000000000000001E-3</v>
          </cell>
          <cell r="O28">
            <v>0</v>
          </cell>
          <cell r="P28">
            <v>0</v>
          </cell>
          <cell r="Q28">
            <v>0</v>
          </cell>
          <cell r="R28">
            <v>0</v>
          </cell>
          <cell r="S28">
            <v>0</v>
          </cell>
          <cell r="T28">
            <v>0</v>
          </cell>
          <cell r="U28">
            <v>0</v>
          </cell>
          <cell r="V28">
            <v>0.49669999999999997</v>
          </cell>
        </row>
        <row r="29">
          <cell r="A29">
            <v>54789</v>
          </cell>
        </row>
      </sheetData>
      <sheetData sheetId="73">
        <row r="9">
          <cell r="A9">
            <v>35490</v>
          </cell>
          <cell r="B9">
            <v>1.61E-2</v>
          </cell>
          <cell r="C9">
            <v>1.9E-3</v>
          </cell>
          <cell r="D9">
            <v>8.8000000000000005E-3</v>
          </cell>
          <cell r="E9">
            <v>2.6799999999999997E-2</v>
          </cell>
        </row>
        <row r="10">
          <cell r="A10">
            <v>35704</v>
          </cell>
          <cell r="B10">
            <v>1.61E-2</v>
          </cell>
          <cell r="C10">
            <v>2.2000000000000001E-3</v>
          </cell>
          <cell r="D10">
            <v>8.8000000000000005E-3</v>
          </cell>
          <cell r="E10">
            <v>2.7099999999999999E-2</v>
          </cell>
        </row>
        <row r="11">
          <cell r="A11">
            <v>36281</v>
          </cell>
          <cell r="B11">
            <v>1.61E-2</v>
          </cell>
          <cell r="C11">
            <v>2.2000000000000001E-3</v>
          </cell>
          <cell r="D11">
            <v>7.4999999999999997E-3</v>
          </cell>
          <cell r="E11">
            <v>2.58E-2</v>
          </cell>
        </row>
        <row r="12">
          <cell r="A12">
            <v>36831</v>
          </cell>
          <cell r="B12">
            <v>1.61E-2</v>
          </cell>
          <cell r="C12">
            <v>2.2000000000000001E-3</v>
          </cell>
          <cell r="D12">
            <v>7.1999999999999998E-3</v>
          </cell>
          <cell r="E12">
            <v>2.5500000000000002E-2</v>
          </cell>
        </row>
        <row r="13">
          <cell r="A13">
            <v>37043</v>
          </cell>
          <cell r="B13">
            <v>1.61E-2</v>
          </cell>
          <cell r="C13">
            <v>2.2000000000000001E-3</v>
          </cell>
          <cell r="D13">
            <v>7.0000000000000001E-3</v>
          </cell>
          <cell r="E13">
            <v>2.53E-2</v>
          </cell>
        </row>
        <row r="14">
          <cell r="A14">
            <v>37165</v>
          </cell>
          <cell r="B14">
            <v>1.61E-2</v>
          </cell>
          <cell r="C14">
            <v>2.0999999999999999E-3</v>
          </cell>
          <cell r="D14">
            <v>7.0000000000000001E-3</v>
          </cell>
          <cell r="E14">
            <v>2.52E-2</v>
          </cell>
        </row>
        <row r="15">
          <cell r="A15">
            <v>37561</v>
          </cell>
          <cell r="B15">
            <v>1.61E-2</v>
          </cell>
          <cell r="C15">
            <v>2.0999999999999999E-3</v>
          </cell>
          <cell r="D15">
            <v>5.4999999999999997E-3</v>
          </cell>
          <cell r="E15">
            <v>2.3699999999999999E-2</v>
          </cell>
        </row>
        <row r="16">
          <cell r="A16">
            <v>37834</v>
          </cell>
          <cell r="B16">
            <v>1.61E-2</v>
          </cell>
          <cell r="C16">
            <v>2.0999999999999999E-3</v>
          </cell>
          <cell r="D16">
            <v>4.0000000000000001E-3</v>
          </cell>
          <cell r="E16">
            <v>2.2200000000000001E-2</v>
          </cell>
        </row>
        <row r="17">
          <cell r="A17">
            <v>38292</v>
          </cell>
          <cell r="B17">
            <v>1.61E-2</v>
          </cell>
          <cell r="C17">
            <v>2.0999999999999999E-3</v>
          </cell>
          <cell r="D17">
            <v>0</v>
          </cell>
          <cell r="E17">
            <v>1.8200000000000001E-2</v>
          </cell>
        </row>
        <row r="18">
          <cell r="A18">
            <v>38384</v>
          </cell>
          <cell r="B18">
            <v>1.61E-2</v>
          </cell>
          <cell r="C18">
            <v>1.9E-3</v>
          </cell>
          <cell r="D18">
            <v>0</v>
          </cell>
          <cell r="E18">
            <v>1.7999999999999999E-2</v>
          </cell>
        </row>
        <row r="19">
          <cell r="A19">
            <v>38473</v>
          </cell>
          <cell r="B19">
            <v>1.61E-2</v>
          </cell>
          <cell r="C19">
            <v>1.9E-3</v>
          </cell>
          <cell r="D19">
            <v>0</v>
          </cell>
          <cell r="E19">
            <v>1.7999999999999999E-2</v>
          </cell>
        </row>
        <row r="20">
          <cell r="A20">
            <v>38687</v>
          </cell>
          <cell r="B20">
            <v>1.61E-2</v>
          </cell>
          <cell r="C20">
            <v>1.8E-3</v>
          </cell>
          <cell r="D20">
            <v>0</v>
          </cell>
          <cell r="E20">
            <v>1.7899999999999999E-2</v>
          </cell>
        </row>
        <row r="21">
          <cell r="A21">
            <v>39114</v>
          </cell>
          <cell r="B21">
            <v>1.61E-2</v>
          </cell>
          <cell r="C21">
            <v>1.6000000000000001E-3</v>
          </cell>
          <cell r="D21">
            <v>0</v>
          </cell>
          <cell r="E21">
            <v>1.77E-2</v>
          </cell>
        </row>
        <row r="22">
          <cell r="A22">
            <v>54789</v>
          </cell>
        </row>
      </sheetData>
      <sheetData sheetId="74">
        <row r="9">
          <cell r="A9" t="str">
            <v>Effective</v>
          </cell>
          <cell r="B9" t="str">
            <v>Base</v>
          </cell>
          <cell r="C9" t="str">
            <v>GSR</v>
          </cell>
          <cell r="D9" t="str">
            <v>CDT</v>
          </cell>
          <cell r="E9" t="str">
            <v>PCB Adj</v>
          </cell>
          <cell r="F9" t="str">
            <v>TCRA</v>
          </cell>
          <cell r="G9" t="str">
            <v>Settlemnt</v>
          </cell>
          <cell r="H9" t="str">
            <v xml:space="preserve">Total </v>
          </cell>
          <cell r="J9" t="str">
            <v>Base</v>
          </cell>
          <cell r="K9" t="str">
            <v>GSR</v>
          </cell>
          <cell r="L9" t="str">
            <v>CDT</v>
          </cell>
          <cell r="M9" t="str">
            <v>PCB Adj</v>
          </cell>
          <cell r="N9" t="str">
            <v>TCRA</v>
          </cell>
          <cell r="O9" t="str">
            <v>Settlemnt</v>
          </cell>
          <cell r="P9" t="str">
            <v xml:space="preserve">Total </v>
          </cell>
        </row>
        <row r="10">
          <cell r="A10">
            <v>34973</v>
          </cell>
          <cell r="B10">
            <v>13.15</v>
          </cell>
          <cell r="C10">
            <v>2.27</v>
          </cell>
          <cell r="D10">
            <v>0.09</v>
          </cell>
          <cell r="F10">
            <v>0.44</v>
          </cell>
          <cell r="H10">
            <v>15.95</v>
          </cell>
          <cell r="J10">
            <v>11.15</v>
          </cell>
          <cell r="K10">
            <v>2.27</v>
          </cell>
          <cell r="L10">
            <v>0.09</v>
          </cell>
          <cell r="N10">
            <v>0.44</v>
          </cell>
          <cell r="P10">
            <v>13.95</v>
          </cell>
        </row>
        <row r="11">
          <cell r="A11">
            <v>35004.056410256409</v>
          </cell>
          <cell r="B11">
            <v>13.15</v>
          </cell>
          <cell r="C11">
            <v>1.94</v>
          </cell>
          <cell r="D11">
            <v>0.05</v>
          </cell>
          <cell r="F11">
            <v>0.44</v>
          </cell>
          <cell r="H11">
            <v>15.58</v>
          </cell>
          <cell r="J11">
            <v>11.15</v>
          </cell>
          <cell r="K11">
            <v>1.94</v>
          </cell>
          <cell r="L11">
            <v>0.05</v>
          </cell>
          <cell r="N11">
            <v>0.44</v>
          </cell>
          <cell r="P11">
            <v>13.58</v>
          </cell>
        </row>
        <row r="12">
          <cell r="A12">
            <v>35096</v>
          </cell>
          <cell r="B12">
            <v>13.15</v>
          </cell>
          <cell r="C12">
            <v>1.87</v>
          </cell>
          <cell r="D12">
            <v>0.05</v>
          </cell>
          <cell r="F12">
            <v>0.27</v>
          </cell>
          <cell r="H12">
            <v>15.34</v>
          </cell>
          <cell r="J12">
            <v>11.15</v>
          </cell>
          <cell r="K12">
            <v>1.87</v>
          </cell>
          <cell r="L12">
            <v>0.05</v>
          </cell>
          <cell r="N12">
            <v>0.27</v>
          </cell>
          <cell r="P12">
            <v>13.34</v>
          </cell>
        </row>
        <row r="13">
          <cell r="A13">
            <v>35186</v>
          </cell>
          <cell r="B13">
            <v>12.8</v>
          </cell>
          <cell r="C13">
            <v>2.09</v>
          </cell>
          <cell r="D13">
            <v>0</v>
          </cell>
          <cell r="F13">
            <v>0.27</v>
          </cell>
          <cell r="H13">
            <v>15.16</v>
          </cell>
          <cell r="J13">
            <v>10.84</v>
          </cell>
          <cell r="K13">
            <v>2.09</v>
          </cell>
          <cell r="L13">
            <v>0</v>
          </cell>
          <cell r="N13">
            <v>0.27</v>
          </cell>
          <cell r="P13">
            <v>13.2</v>
          </cell>
        </row>
        <row r="14">
          <cell r="A14">
            <v>35278</v>
          </cell>
          <cell r="B14">
            <v>12.8</v>
          </cell>
          <cell r="C14">
            <v>2.59</v>
          </cell>
          <cell r="D14">
            <v>0</v>
          </cell>
          <cell r="E14">
            <v>0.35</v>
          </cell>
          <cell r="F14">
            <v>0.27</v>
          </cell>
          <cell r="H14">
            <v>16.010000000000002</v>
          </cell>
          <cell r="J14">
            <v>10.84</v>
          </cell>
          <cell r="K14">
            <v>2.59</v>
          </cell>
          <cell r="L14">
            <v>0</v>
          </cell>
          <cell r="M14">
            <v>0.31</v>
          </cell>
          <cell r="N14">
            <v>0.27</v>
          </cell>
          <cell r="P14">
            <v>14.01</v>
          </cell>
        </row>
        <row r="15">
          <cell r="A15">
            <v>35400</v>
          </cell>
          <cell r="B15">
            <v>12.8</v>
          </cell>
          <cell r="C15">
            <v>4.03</v>
          </cell>
          <cell r="D15">
            <v>0</v>
          </cell>
          <cell r="E15">
            <v>0.35</v>
          </cell>
          <cell r="F15">
            <v>0.27</v>
          </cell>
          <cell r="H15">
            <v>17.450000000000003</v>
          </cell>
          <cell r="J15">
            <v>10.84</v>
          </cell>
          <cell r="K15">
            <v>4.03</v>
          </cell>
          <cell r="L15">
            <v>0</v>
          </cell>
          <cell r="M15">
            <v>0.31</v>
          </cell>
          <cell r="N15">
            <v>0.27</v>
          </cell>
          <cell r="P15">
            <v>15.450000000000001</v>
          </cell>
        </row>
        <row r="16">
          <cell r="A16">
            <v>35462</v>
          </cell>
          <cell r="B16">
            <v>12.8</v>
          </cell>
          <cell r="C16">
            <v>4.03</v>
          </cell>
          <cell r="D16">
            <v>0</v>
          </cell>
          <cell r="E16">
            <v>0.35</v>
          </cell>
          <cell r="F16">
            <v>0.25</v>
          </cell>
          <cell r="H16">
            <v>17.430000000000003</v>
          </cell>
          <cell r="J16">
            <v>10.84</v>
          </cell>
          <cell r="K16">
            <v>4.03</v>
          </cell>
          <cell r="L16">
            <v>0</v>
          </cell>
          <cell r="M16">
            <v>0.31</v>
          </cell>
          <cell r="N16">
            <v>0.25</v>
          </cell>
          <cell r="P16">
            <v>15.430000000000001</v>
          </cell>
        </row>
        <row r="17">
          <cell r="A17">
            <v>35490</v>
          </cell>
          <cell r="B17">
            <v>9.08</v>
          </cell>
          <cell r="C17">
            <v>4.03</v>
          </cell>
          <cell r="D17">
            <v>0</v>
          </cell>
          <cell r="E17">
            <v>0.35</v>
          </cell>
          <cell r="F17">
            <v>0.25</v>
          </cell>
          <cell r="H17">
            <v>13.709999999999999</v>
          </cell>
          <cell r="J17">
            <v>7.63</v>
          </cell>
          <cell r="K17">
            <v>4.03</v>
          </cell>
          <cell r="L17">
            <v>0</v>
          </cell>
          <cell r="M17">
            <v>0.31</v>
          </cell>
          <cell r="N17">
            <v>0.25</v>
          </cell>
          <cell r="P17">
            <v>12.22</v>
          </cell>
        </row>
        <row r="18">
          <cell r="A18">
            <v>35551</v>
          </cell>
          <cell r="B18">
            <v>9.08</v>
          </cell>
          <cell r="C18">
            <v>0</v>
          </cell>
          <cell r="D18">
            <v>0</v>
          </cell>
          <cell r="E18">
            <v>0.35</v>
          </cell>
          <cell r="F18">
            <v>0</v>
          </cell>
          <cell r="G18">
            <v>1.63</v>
          </cell>
          <cell r="H18">
            <v>11.059999999999999</v>
          </cell>
          <cell r="J18">
            <v>7.63</v>
          </cell>
          <cell r="K18">
            <v>0</v>
          </cell>
          <cell r="L18">
            <v>0</v>
          </cell>
          <cell r="M18">
            <v>0.31</v>
          </cell>
          <cell r="N18">
            <v>0</v>
          </cell>
          <cell r="O18">
            <v>1.63</v>
          </cell>
          <cell r="P18">
            <v>9.57</v>
          </cell>
        </row>
        <row r="19">
          <cell r="A19">
            <v>36281</v>
          </cell>
          <cell r="B19">
            <v>9.06</v>
          </cell>
          <cell r="C19">
            <v>0</v>
          </cell>
          <cell r="D19">
            <v>0</v>
          </cell>
          <cell r="E19">
            <v>0.35</v>
          </cell>
          <cell r="F19">
            <v>0</v>
          </cell>
          <cell r="G19">
            <v>0</v>
          </cell>
          <cell r="H19">
            <v>9.41</v>
          </cell>
          <cell r="J19">
            <v>7.62</v>
          </cell>
          <cell r="K19">
            <v>0</v>
          </cell>
          <cell r="L19">
            <v>0</v>
          </cell>
          <cell r="M19">
            <v>0.31</v>
          </cell>
          <cell r="N19">
            <v>0</v>
          </cell>
          <cell r="O19">
            <v>0</v>
          </cell>
          <cell r="P19">
            <v>7.93</v>
          </cell>
        </row>
        <row r="20">
          <cell r="A20">
            <v>36831</v>
          </cell>
          <cell r="B20">
            <v>9.06</v>
          </cell>
          <cell r="C20">
            <v>0</v>
          </cell>
          <cell r="D20">
            <v>0</v>
          </cell>
          <cell r="E20">
            <v>0</v>
          </cell>
          <cell r="F20">
            <v>0</v>
          </cell>
          <cell r="G20">
            <v>0</v>
          </cell>
          <cell r="H20">
            <v>9.06</v>
          </cell>
          <cell r="J20">
            <v>7.62</v>
          </cell>
          <cell r="K20">
            <v>0</v>
          </cell>
          <cell r="L20">
            <v>0</v>
          </cell>
          <cell r="M20">
            <v>0</v>
          </cell>
          <cell r="N20">
            <v>0</v>
          </cell>
          <cell r="O20">
            <v>0</v>
          </cell>
          <cell r="P20">
            <v>7.62</v>
          </cell>
        </row>
        <row r="21">
          <cell r="A21">
            <v>37561</v>
          </cell>
          <cell r="B21">
            <v>9.06</v>
          </cell>
          <cell r="C21">
            <v>0</v>
          </cell>
          <cell r="D21">
            <v>0</v>
          </cell>
          <cell r="E21">
            <v>0</v>
          </cell>
          <cell r="F21">
            <v>0</v>
          </cell>
          <cell r="G21">
            <v>0</v>
          </cell>
          <cell r="H21">
            <v>9.06</v>
          </cell>
          <cell r="J21">
            <v>7.62</v>
          </cell>
          <cell r="K21">
            <v>0</v>
          </cell>
          <cell r="L21">
            <v>0</v>
          </cell>
          <cell r="M21">
            <v>0</v>
          </cell>
          <cell r="N21">
            <v>0</v>
          </cell>
          <cell r="O21">
            <v>0</v>
          </cell>
          <cell r="P21">
            <v>7.62</v>
          </cell>
        </row>
        <row r="22">
          <cell r="A22">
            <v>37834</v>
          </cell>
          <cell r="B22">
            <v>9.06</v>
          </cell>
          <cell r="C22">
            <v>0</v>
          </cell>
          <cell r="D22">
            <v>0</v>
          </cell>
          <cell r="E22">
            <v>0</v>
          </cell>
          <cell r="F22">
            <v>0</v>
          </cell>
          <cell r="G22">
            <v>0</v>
          </cell>
          <cell r="H22">
            <v>9.06</v>
          </cell>
          <cell r="J22">
            <v>7.62</v>
          </cell>
          <cell r="K22">
            <v>0</v>
          </cell>
          <cell r="L22">
            <v>0</v>
          </cell>
          <cell r="M22">
            <v>0</v>
          </cell>
          <cell r="N22">
            <v>0</v>
          </cell>
          <cell r="O22">
            <v>0</v>
          </cell>
          <cell r="P22">
            <v>7.62</v>
          </cell>
        </row>
        <row r="23">
          <cell r="A23">
            <v>38200</v>
          </cell>
          <cell r="B23">
            <v>9.06</v>
          </cell>
          <cell r="C23">
            <v>0</v>
          </cell>
          <cell r="D23">
            <v>0</v>
          </cell>
          <cell r="E23">
            <v>0</v>
          </cell>
          <cell r="F23">
            <v>0</v>
          </cell>
          <cell r="G23">
            <v>0</v>
          </cell>
          <cell r="H23">
            <v>9.06</v>
          </cell>
          <cell r="J23">
            <v>7.62</v>
          </cell>
          <cell r="K23">
            <v>0</v>
          </cell>
          <cell r="L23">
            <v>0</v>
          </cell>
          <cell r="M23">
            <v>0</v>
          </cell>
          <cell r="N23">
            <v>0</v>
          </cell>
          <cell r="O23">
            <v>0</v>
          </cell>
          <cell r="P23">
            <v>7.62</v>
          </cell>
        </row>
        <row r="24">
          <cell r="A24">
            <v>38384</v>
          </cell>
          <cell r="B24">
            <v>9.06</v>
          </cell>
          <cell r="C24">
            <v>0</v>
          </cell>
          <cell r="D24">
            <v>0</v>
          </cell>
          <cell r="E24">
            <v>0</v>
          </cell>
          <cell r="F24">
            <v>0</v>
          </cell>
          <cell r="G24">
            <v>0</v>
          </cell>
          <cell r="H24">
            <v>9.06</v>
          </cell>
          <cell r="J24">
            <v>7.62</v>
          </cell>
          <cell r="K24">
            <v>0</v>
          </cell>
          <cell r="L24">
            <v>0</v>
          </cell>
          <cell r="M24">
            <v>0</v>
          </cell>
          <cell r="N24">
            <v>0</v>
          </cell>
          <cell r="O24">
            <v>0</v>
          </cell>
          <cell r="P24">
            <v>7.62</v>
          </cell>
        </row>
        <row r="25">
          <cell r="A25">
            <v>38473</v>
          </cell>
          <cell r="B25">
            <v>9.06</v>
          </cell>
          <cell r="C25">
            <v>0</v>
          </cell>
          <cell r="D25">
            <v>0</v>
          </cell>
          <cell r="E25">
            <v>0</v>
          </cell>
          <cell r="F25">
            <v>0</v>
          </cell>
          <cell r="G25">
            <v>0</v>
          </cell>
          <cell r="H25">
            <v>9.06</v>
          </cell>
          <cell r="J25">
            <v>7.62</v>
          </cell>
          <cell r="K25">
            <v>0</v>
          </cell>
          <cell r="L25">
            <v>0</v>
          </cell>
          <cell r="M25">
            <v>0</v>
          </cell>
          <cell r="N25">
            <v>0</v>
          </cell>
          <cell r="O25">
            <v>0</v>
          </cell>
          <cell r="P25">
            <v>7.62</v>
          </cell>
        </row>
        <row r="26">
          <cell r="A26">
            <v>39114</v>
          </cell>
          <cell r="B26">
            <v>9.06</v>
          </cell>
          <cell r="C26">
            <v>0</v>
          </cell>
          <cell r="D26">
            <v>0</v>
          </cell>
          <cell r="E26">
            <v>0</v>
          </cell>
          <cell r="F26">
            <v>0</v>
          </cell>
          <cell r="G26">
            <v>0</v>
          </cell>
          <cell r="H26">
            <v>9.06</v>
          </cell>
          <cell r="J26">
            <v>7.62</v>
          </cell>
          <cell r="K26">
            <v>0</v>
          </cell>
          <cell r="L26">
            <v>0</v>
          </cell>
          <cell r="M26">
            <v>0</v>
          </cell>
          <cell r="N26">
            <v>0</v>
          </cell>
          <cell r="O26">
            <v>0</v>
          </cell>
          <cell r="P26">
            <v>7.62</v>
          </cell>
        </row>
        <row r="27">
          <cell r="A27">
            <v>54789</v>
          </cell>
        </row>
      </sheetData>
      <sheetData sheetId="75">
        <row r="9">
          <cell r="A9">
            <v>34881</v>
          </cell>
          <cell r="B9">
            <v>1.6199999999999999E-2</v>
          </cell>
          <cell r="C9">
            <v>2.2000000000000001E-3</v>
          </cell>
          <cell r="D9">
            <v>0.02</v>
          </cell>
          <cell r="E9">
            <v>3.1E-2</v>
          </cell>
          <cell r="F9">
            <v>6.9400000000000003E-2</v>
          </cell>
          <cell r="H9">
            <v>1.3000000000000001E-2</v>
          </cell>
          <cell r="I9">
            <v>2.2000000000000001E-3</v>
          </cell>
          <cell r="J9">
            <v>0.02</v>
          </cell>
          <cell r="K9">
            <v>3.1E-2</v>
          </cell>
          <cell r="L9">
            <v>6.6200000000000009E-2</v>
          </cell>
        </row>
        <row r="10">
          <cell r="A10">
            <v>35004</v>
          </cell>
          <cell r="B10">
            <v>1.6199999999999999E-2</v>
          </cell>
          <cell r="C10">
            <v>2.2000000000000001E-3</v>
          </cell>
          <cell r="D10">
            <v>0.02</v>
          </cell>
          <cell r="E10">
            <v>3.1E-2</v>
          </cell>
          <cell r="F10">
            <v>6.9400000000000003E-2</v>
          </cell>
          <cell r="H10">
            <v>1.3000000000000001E-2</v>
          </cell>
          <cell r="I10">
            <v>2.2000000000000001E-3</v>
          </cell>
          <cell r="J10">
            <v>0.02</v>
          </cell>
          <cell r="K10">
            <v>3.1E-2</v>
          </cell>
          <cell r="L10">
            <v>6.6200000000000009E-2</v>
          </cell>
        </row>
        <row r="11">
          <cell r="A11">
            <v>35096</v>
          </cell>
          <cell r="B11">
            <v>1.6199999999999999E-2</v>
          </cell>
          <cell r="C11">
            <v>2.2000000000000001E-3</v>
          </cell>
          <cell r="D11">
            <v>0.02</v>
          </cell>
          <cell r="E11">
            <v>0</v>
          </cell>
          <cell r="F11">
            <v>3.8400000000000004E-2</v>
          </cell>
          <cell r="H11">
            <v>1.3000000000000001E-2</v>
          </cell>
          <cell r="I11">
            <v>2.2000000000000001E-3</v>
          </cell>
          <cell r="J11">
            <v>0.02</v>
          </cell>
          <cell r="K11">
            <v>0</v>
          </cell>
          <cell r="L11">
            <v>3.5200000000000002E-2</v>
          </cell>
        </row>
        <row r="12">
          <cell r="A12">
            <v>35339</v>
          </cell>
          <cell r="B12">
            <v>1.6199999999999999E-2</v>
          </cell>
          <cell r="C12">
            <v>1.9E-3</v>
          </cell>
          <cell r="D12">
            <v>0.02</v>
          </cell>
          <cell r="E12">
            <v>2.2499999999999999E-2</v>
          </cell>
          <cell r="F12">
            <v>6.0599999999999994E-2</v>
          </cell>
          <cell r="H12">
            <v>1.3000000000000001E-2</v>
          </cell>
          <cell r="I12">
            <v>1.9E-3</v>
          </cell>
          <cell r="J12">
            <v>0.02</v>
          </cell>
          <cell r="K12">
            <v>2.2499999999999999E-2</v>
          </cell>
          <cell r="L12">
            <v>5.74E-2</v>
          </cell>
        </row>
        <row r="13">
          <cell r="A13">
            <v>35490</v>
          </cell>
          <cell r="B13">
            <v>8.8099999999999998E-2</v>
          </cell>
          <cell r="C13">
            <v>1.9E-3</v>
          </cell>
          <cell r="D13">
            <v>0.02</v>
          </cell>
          <cell r="E13">
            <v>2.2499999999999999E-2</v>
          </cell>
          <cell r="F13">
            <v>0.13250000000000001</v>
          </cell>
          <cell r="H13">
            <v>7.7600000000000002E-2</v>
          </cell>
          <cell r="I13">
            <v>1.9E-3</v>
          </cell>
          <cell r="J13">
            <v>0.02</v>
          </cell>
          <cell r="K13">
            <v>2.2499999999999999E-2</v>
          </cell>
          <cell r="L13">
            <v>0.122</v>
          </cell>
        </row>
        <row r="14">
          <cell r="A14">
            <v>35704</v>
          </cell>
          <cell r="B14">
            <v>8.8099999999999998E-2</v>
          </cell>
          <cell r="C14">
            <v>2.2000000000000001E-3</v>
          </cell>
          <cell r="D14">
            <v>0.02</v>
          </cell>
          <cell r="E14">
            <v>2.2499999999999999E-2</v>
          </cell>
          <cell r="F14">
            <v>0.1328</v>
          </cell>
          <cell r="H14">
            <v>7.7600000000000002E-2</v>
          </cell>
          <cell r="I14">
            <v>2.2000000000000001E-3</v>
          </cell>
          <cell r="J14">
            <v>0.02</v>
          </cell>
          <cell r="K14">
            <v>2.2499999999999999E-2</v>
          </cell>
          <cell r="L14">
            <v>0.12229999999999999</v>
          </cell>
        </row>
        <row r="15">
          <cell r="A15">
            <v>36281</v>
          </cell>
          <cell r="B15">
            <v>8.7999999999999995E-2</v>
          </cell>
          <cell r="C15">
            <v>2.2000000000000001E-3</v>
          </cell>
          <cell r="D15">
            <v>1.7999999999999999E-2</v>
          </cell>
          <cell r="E15">
            <v>2.2499999999999999E-2</v>
          </cell>
          <cell r="F15">
            <v>0.13069999999999998</v>
          </cell>
          <cell r="H15">
            <v>7.7600000000000002E-2</v>
          </cell>
          <cell r="I15">
            <v>2.2000000000000001E-3</v>
          </cell>
          <cell r="J15">
            <v>1.7999999999999999E-2</v>
          </cell>
          <cell r="K15">
            <v>2.2499999999999999E-2</v>
          </cell>
          <cell r="L15">
            <v>0.12029999999999999</v>
          </cell>
        </row>
        <row r="16">
          <cell r="A16">
            <v>36831</v>
          </cell>
          <cell r="B16">
            <v>8.7999999999999995E-2</v>
          </cell>
          <cell r="C16">
            <v>2.2000000000000001E-3</v>
          </cell>
          <cell r="D16">
            <v>1.6E-2</v>
          </cell>
          <cell r="E16">
            <v>2.2499999999999999E-2</v>
          </cell>
          <cell r="F16">
            <v>0.12869999999999998</v>
          </cell>
          <cell r="H16">
            <v>7.7600000000000002E-2</v>
          </cell>
          <cell r="I16">
            <v>2.2000000000000001E-3</v>
          </cell>
          <cell r="J16">
            <v>1.6E-2</v>
          </cell>
          <cell r="K16">
            <v>2.2499999999999999E-2</v>
          </cell>
          <cell r="L16">
            <v>0.11829999999999999</v>
          </cell>
        </row>
        <row r="17">
          <cell r="A17">
            <v>37043</v>
          </cell>
          <cell r="B17">
            <v>8.7999999999999995E-2</v>
          </cell>
          <cell r="C17">
            <v>2.2000000000000001E-3</v>
          </cell>
          <cell r="D17">
            <v>1.0999999999999999E-2</v>
          </cell>
          <cell r="E17">
            <v>2.2499999999999999E-2</v>
          </cell>
          <cell r="F17">
            <v>0.12369999999999998</v>
          </cell>
          <cell r="H17">
            <v>7.7600000000000002E-2</v>
          </cell>
          <cell r="I17">
            <v>2.2000000000000001E-3</v>
          </cell>
          <cell r="J17">
            <v>1.0999999999999999E-2</v>
          </cell>
          <cell r="K17">
            <v>2.2499999999999999E-2</v>
          </cell>
          <cell r="L17">
            <v>0.11329999999999998</v>
          </cell>
        </row>
        <row r="18">
          <cell r="A18">
            <v>37043</v>
          </cell>
          <cell r="B18">
            <v>8.7999999999999995E-2</v>
          </cell>
          <cell r="C18">
            <v>2.0999999999999999E-3</v>
          </cell>
          <cell r="D18">
            <v>8.8000000000000005E-3</v>
          </cell>
          <cell r="E18">
            <v>2.2499999999999999E-2</v>
          </cell>
          <cell r="F18">
            <v>0.12140000000000001</v>
          </cell>
          <cell r="H18">
            <v>7.7600000000000002E-2</v>
          </cell>
          <cell r="I18">
            <v>2.0999999999999999E-3</v>
          </cell>
          <cell r="J18">
            <v>8.8000000000000005E-3</v>
          </cell>
          <cell r="K18">
            <v>2.2499999999999999E-2</v>
          </cell>
          <cell r="L18">
            <v>0.11100000000000002</v>
          </cell>
        </row>
        <row r="19">
          <cell r="A19">
            <v>37834</v>
          </cell>
          <cell r="B19">
            <v>8.7999999999999995E-2</v>
          </cell>
          <cell r="C19">
            <v>2.0999999999999999E-3</v>
          </cell>
          <cell r="D19">
            <v>6.0000000000000001E-3</v>
          </cell>
          <cell r="E19">
            <v>2.2499999999999999E-2</v>
          </cell>
          <cell r="F19">
            <v>0.11860000000000001</v>
          </cell>
          <cell r="H19">
            <v>7.7600000000000002E-2</v>
          </cell>
          <cell r="I19">
            <v>2.0999999999999999E-3</v>
          </cell>
          <cell r="J19">
            <v>6.0000000000000001E-3</v>
          </cell>
          <cell r="K19">
            <v>2.2499999999999999E-2</v>
          </cell>
          <cell r="L19">
            <v>0.10820000000000002</v>
          </cell>
        </row>
        <row r="20">
          <cell r="A20">
            <v>38200</v>
          </cell>
          <cell r="B20">
            <v>8.7999999999999995E-2</v>
          </cell>
          <cell r="C20">
            <v>2.0999999999999999E-3</v>
          </cell>
          <cell r="D20">
            <v>0</v>
          </cell>
          <cell r="E20">
            <v>0</v>
          </cell>
          <cell r="F20">
            <v>9.01E-2</v>
          </cell>
          <cell r="H20">
            <v>7.7600000000000002E-2</v>
          </cell>
          <cell r="I20">
            <v>2.0999999999999999E-3</v>
          </cell>
          <cell r="J20">
            <v>0</v>
          </cell>
          <cell r="K20">
            <v>0</v>
          </cell>
          <cell r="L20">
            <v>7.9700000000000007E-2</v>
          </cell>
        </row>
        <row r="21">
          <cell r="A21">
            <v>38384</v>
          </cell>
          <cell r="B21">
            <v>8.7999999999999995E-2</v>
          </cell>
          <cell r="C21">
            <v>1.9E-3</v>
          </cell>
          <cell r="D21">
            <v>0</v>
          </cell>
          <cell r="E21">
            <v>0</v>
          </cell>
          <cell r="F21">
            <v>8.9899999999999994E-2</v>
          </cell>
          <cell r="H21">
            <v>7.7600000000000002E-2</v>
          </cell>
          <cell r="I21">
            <v>1.9E-3</v>
          </cell>
          <cell r="J21">
            <v>0</v>
          </cell>
          <cell r="K21">
            <v>0</v>
          </cell>
          <cell r="L21">
            <v>7.9500000000000001E-2</v>
          </cell>
        </row>
        <row r="22">
          <cell r="A22">
            <v>38473</v>
          </cell>
          <cell r="B22">
            <v>8.7999999999999995E-2</v>
          </cell>
          <cell r="C22">
            <v>1.9E-3</v>
          </cell>
          <cell r="D22">
            <v>0</v>
          </cell>
          <cell r="E22">
            <v>0</v>
          </cell>
          <cell r="F22">
            <v>8.9899999999999994E-2</v>
          </cell>
          <cell r="H22">
            <v>7.7600000000000002E-2</v>
          </cell>
          <cell r="I22">
            <v>1.9E-3</v>
          </cell>
          <cell r="J22">
            <v>0</v>
          </cell>
          <cell r="K22">
            <v>0</v>
          </cell>
          <cell r="L22">
            <v>7.9500000000000001E-2</v>
          </cell>
        </row>
        <row r="23">
          <cell r="A23">
            <v>38687</v>
          </cell>
          <cell r="B23">
            <v>8.7999999999999995E-2</v>
          </cell>
          <cell r="C23">
            <v>1.8E-3</v>
          </cell>
          <cell r="D23">
            <v>0</v>
          </cell>
          <cell r="E23">
            <v>0</v>
          </cell>
          <cell r="F23">
            <v>8.9799999999999991E-2</v>
          </cell>
          <cell r="H23">
            <v>7.7600000000000002E-2</v>
          </cell>
          <cell r="I23">
            <v>1.8E-3</v>
          </cell>
          <cell r="J23">
            <v>0</v>
          </cell>
          <cell r="K23">
            <v>0</v>
          </cell>
          <cell r="L23">
            <v>7.9399999999999998E-2</v>
          </cell>
        </row>
        <row r="24">
          <cell r="A24">
            <v>39114</v>
          </cell>
          <cell r="B24">
            <v>8.7999999999999995E-2</v>
          </cell>
          <cell r="C24">
            <v>1.6000000000000001E-3</v>
          </cell>
          <cell r="D24">
            <v>0</v>
          </cell>
          <cell r="E24">
            <v>0</v>
          </cell>
          <cell r="F24">
            <v>8.9599999999999999E-2</v>
          </cell>
          <cell r="H24">
            <v>7.7600000000000002E-2</v>
          </cell>
          <cell r="I24">
            <v>1.6000000000000001E-3</v>
          </cell>
          <cell r="J24">
            <v>0</v>
          </cell>
          <cell r="K24">
            <v>0</v>
          </cell>
          <cell r="L24">
            <v>7.9200000000000007E-2</v>
          </cell>
        </row>
        <row r="25">
          <cell r="A25">
            <v>54789</v>
          </cell>
        </row>
      </sheetData>
      <sheetData sheetId="76">
        <row r="10">
          <cell r="A10">
            <v>35004</v>
          </cell>
          <cell r="B10">
            <v>2.0299999999999998</v>
          </cell>
          <cell r="C10">
            <v>2.4900000000000002E-2</v>
          </cell>
          <cell r="D10">
            <v>5.3E-3</v>
          </cell>
          <cell r="E10">
            <v>5.3E-3</v>
          </cell>
          <cell r="F10">
            <v>1.49E-2</v>
          </cell>
          <cell r="H10">
            <v>1.61</v>
          </cell>
          <cell r="I10">
            <v>2.3700000000000002E-2</v>
          </cell>
          <cell r="J10">
            <v>1.18E-2</v>
          </cell>
          <cell r="K10">
            <v>1.18E-2</v>
          </cell>
          <cell r="L10">
            <v>1.49E-2</v>
          </cell>
        </row>
        <row r="11">
          <cell r="A11">
            <v>35339</v>
          </cell>
          <cell r="B11">
            <v>2.0299999999999998</v>
          </cell>
          <cell r="C11">
            <v>2.4900000000000002E-2</v>
          </cell>
          <cell r="D11">
            <v>5.3E-3</v>
          </cell>
          <cell r="E11">
            <v>5.3E-3</v>
          </cell>
          <cell r="F11">
            <v>1.49E-2</v>
          </cell>
          <cell r="H11">
            <v>1.61</v>
          </cell>
          <cell r="I11">
            <v>2.3700000000000002E-2</v>
          </cell>
          <cell r="J11">
            <v>1.18E-2</v>
          </cell>
          <cell r="K11">
            <v>1.18E-2</v>
          </cell>
          <cell r="L11">
            <v>1.49E-2</v>
          </cell>
        </row>
        <row r="12">
          <cell r="A12">
            <v>35490</v>
          </cell>
          <cell r="B12">
            <v>2.02</v>
          </cell>
          <cell r="C12">
            <v>2.4799999999999999E-2</v>
          </cell>
          <cell r="D12">
            <v>5.3E-3</v>
          </cell>
          <cell r="E12">
            <v>5.3E-3</v>
          </cell>
          <cell r="F12">
            <v>1.49E-2</v>
          </cell>
          <cell r="H12">
            <v>1.17</v>
          </cell>
          <cell r="I12">
            <v>1.8700000000000001E-2</v>
          </cell>
          <cell r="J12">
            <v>1.0200000000000001E-2</v>
          </cell>
          <cell r="K12">
            <v>1.0200000000000001E-2</v>
          </cell>
          <cell r="L12">
            <v>1.49E-2</v>
          </cell>
        </row>
        <row r="13">
          <cell r="A13">
            <v>35704</v>
          </cell>
          <cell r="B13">
            <v>2.02</v>
          </cell>
          <cell r="C13">
            <v>2.4799999999999999E-2</v>
          </cell>
          <cell r="D13">
            <v>5.3E-3</v>
          </cell>
          <cell r="E13">
            <v>5.3E-3</v>
          </cell>
          <cell r="F13">
            <v>1.49E-2</v>
          </cell>
          <cell r="H13">
            <v>1.17</v>
          </cell>
          <cell r="I13">
            <v>1.8700000000000001E-2</v>
          </cell>
          <cell r="J13">
            <v>1.0200000000000001E-2</v>
          </cell>
          <cell r="K13">
            <v>1.0200000000000001E-2</v>
          </cell>
          <cell r="L13">
            <v>1.49E-2</v>
          </cell>
        </row>
        <row r="14">
          <cell r="A14">
            <v>36281</v>
          </cell>
          <cell r="B14">
            <v>2.02</v>
          </cell>
          <cell r="C14">
            <v>2.4799999999999999E-2</v>
          </cell>
          <cell r="D14">
            <v>5.3E-3</v>
          </cell>
          <cell r="E14">
            <v>5.3E-3</v>
          </cell>
          <cell r="F14">
            <v>1.49E-2</v>
          </cell>
          <cell r="H14">
            <v>1.17</v>
          </cell>
          <cell r="I14">
            <v>1.8700000000000001E-2</v>
          </cell>
          <cell r="J14">
            <v>1.0200000000000001E-2</v>
          </cell>
          <cell r="K14">
            <v>1.0200000000000001E-2</v>
          </cell>
          <cell r="L14">
            <v>1.49E-2</v>
          </cell>
        </row>
        <row r="15">
          <cell r="A15">
            <v>36831</v>
          </cell>
          <cell r="B15">
            <v>2.02</v>
          </cell>
          <cell r="C15">
            <v>2.4799999999999999E-2</v>
          </cell>
          <cell r="D15">
            <v>5.3E-3</v>
          </cell>
          <cell r="E15">
            <v>5.3E-3</v>
          </cell>
          <cell r="F15">
            <v>1.49E-2</v>
          </cell>
          <cell r="H15">
            <v>1.1499999999999999</v>
          </cell>
          <cell r="I15">
            <v>1.8499999999999999E-2</v>
          </cell>
          <cell r="J15">
            <v>1.0200000000000001E-2</v>
          </cell>
          <cell r="K15">
            <v>1.0200000000000001E-2</v>
          </cell>
          <cell r="L15">
            <v>1.49E-2</v>
          </cell>
        </row>
        <row r="16">
          <cell r="A16">
            <v>37561</v>
          </cell>
          <cell r="B16">
            <v>2.02</v>
          </cell>
          <cell r="C16">
            <v>2.4799999999999999E-2</v>
          </cell>
          <cell r="D16">
            <v>5.3E-3</v>
          </cell>
          <cell r="E16">
            <v>5.3E-3</v>
          </cell>
          <cell r="F16">
            <v>1.49E-2</v>
          </cell>
          <cell r="H16">
            <v>1.1499999999999999</v>
          </cell>
          <cell r="I16">
            <v>1.8499999999999999E-2</v>
          </cell>
          <cell r="J16">
            <v>1.0200000000000001E-2</v>
          </cell>
          <cell r="K16">
            <v>1.0200000000000001E-2</v>
          </cell>
          <cell r="L16">
            <v>1.49E-2</v>
          </cell>
        </row>
        <row r="17">
          <cell r="A17">
            <v>37834</v>
          </cell>
          <cell r="B17">
            <v>2.02</v>
          </cell>
          <cell r="C17">
            <v>2.4799999999999999E-2</v>
          </cell>
          <cell r="D17">
            <v>5.3E-3</v>
          </cell>
          <cell r="E17">
            <v>5.3E-3</v>
          </cell>
          <cell r="F17">
            <v>1.49E-2</v>
          </cell>
          <cell r="H17">
            <v>1.1499999999999999</v>
          </cell>
          <cell r="I17">
            <v>1.8499999999999999E-2</v>
          </cell>
          <cell r="J17">
            <v>1.0200000000000001E-2</v>
          </cell>
          <cell r="K17">
            <v>1.0200000000000001E-2</v>
          </cell>
          <cell r="L17">
            <v>1.49E-2</v>
          </cell>
        </row>
        <row r="18">
          <cell r="A18">
            <v>38200</v>
          </cell>
          <cell r="B18">
            <v>2.02</v>
          </cell>
          <cell r="C18">
            <v>2.4799999999999999E-2</v>
          </cell>
          <cell r="D18">
            <v>5.3E-3</v>
          </cell>
          <cell r="E18">
            <v>5.3E-3</v>
          </cell>
          <cell r="F18">
            <v>1.49E-2</v>
          </cell>
          <cell r="H18">
            <v>1.1499999999999999</v>
          </cell>
          <cell r="I18">
            <v>1.8499999999999999E-2</v>
          </cell>
          <cell r="J18">
            <v>1.0200000000000001E-2</v>
          </cell>
          <cell r="K18">
            <v>1.0200000000000001E-2</v>
          </cell>
          <cell r="L18">
            <v>1.49E-2</v>
          </cell>
        </row>
        <row r="19">
          <cell r="A19">
            <v>38384</v>
          </cell>
          <cell r="B19">
            <v>2.02</v>
          </cell>
          <cell r="C19">
            <v>2.4799999999999999E-2</v>
          </cell>
          <cell r="D19">
            <v>5.3E-3</v>
          </cell>
          <cell r="E19">
            <v>5.3E-3</v>
          </cell>
          <cell r="F19">
            <v>1.49E-2</v>
          </cell>
          <cell r="H19">
            <v>1.1499999999999999</v>
          </cell>
          <cell r="I19">
            <v>1.8499999999999999E-2</v>
          </cell>
          <cell r="J19">
            <v>1.0200000000000001E-2</v>
          </cell>
          <cell r="K19">
            <v>1.0200000000000001E-2</v>
          </cell>
          <cell r="L19">
            <v>1.49E-2</v>
          </cell>
        </row>
        <row r="20">
          <cell r="A20">
            <v>38473</v>
          </cell>
          <cell r="B20">
            <v>2.02</v>
          </cell>
          <cell r="C20">
            <v>2.4799999999999999E-2</v>
          </cell>
          <cell r="D20">
            <v>5.3E-3</v>
          </cell>
          <cell r="E20">
            <v>5.3E-3</v>
          </cell>
          <cell r="F20">
            <v>1.49E-2</v>
          </cell>
          <cell r="H20">
            <v>1.1499999999999999</v>
          </cell>
          <cell r="I20">
            <v>1.8499999999999999E-2</v>
          </cell>
          <cell r="J20">
            <v>1.0200000000000001E-2</v>
          </cell>
          <cell r="K20">
            <v>1.0200000000000001E-2</v>
          </cell>
          <cell r="L20">
            <v>1.49E-2</v>
          </cell>
        </row>
        <row r="21">
          <cell r="A21">
            <v>39114</v>
          </cell>
          <cell r="B21">
            <v>2.02</v>
          </cell>
          <cell r="C21">
            <v>2.4799999999999999E-2</v>
          </cell>
          <cell r="D21">
            <v>5.3E-3</v>
          </cell>
          <cell r="E21">
            <v>5.3E-3</v>
          </cell>
          <cell r="F21">
            <v>1.49E-2</v>
          </cell>
          <cell r="H21">
            <v>1.1499999999999999</v>
          </cell>
          <cell r="I21">
            <v>1.8499999999999999E-2</v>
          </cell>
          <cell r="J21">
            <v>1.0200000000000001E-2</v>
          </cell>
          <cell r="K21">
            <v>1.0200000000000001E-2</v>
          </cell>
          <cell r="L21">
            <v>1.49E-2</v>
          </cell>
        </row>
        <row r="22">
          <cell r="A22">
            <v>54789</v>
          </cell>
        </row>
      </sheetData>
      <sheetData sheetId="77">
        <row r="10">
          <cell r="A10">
            <v>34213</v>
          </cell>
          <cell r="B10">
            <v>5.16E-2</v>
          </cell>
          <cell r="E10">
            <v>4.2800000000000005E-2</v>
          </cell>
        </row>
        <row r="11">
          <cell r="A11">
            <v>35490</v>
          </cell>
          <cell r="B11">
            <v>5.16E-2</v>
          </cell>
          <cell r="C11">
            <v>4.4299999999999999E-2</v>
          </cell>
          <cell r="E11">
            <v>4.2799999999999998E-2</v>
          </cell>
          <cell r="F11">
            <v>3.6900000000000002E-2</v>
          </cell>
        </row>
        <row r="12">
          <cell r="A12">
            <v>37561</v>
          </cell>
          <cell r="B12">
            <v>5.16E-2</v>
          </cell>
          <cell r="C12">
            <v>4.4299999999999999E-2</v>
          </cell>
          <cell r="E12">
            <v>4.2799999999999998E-2</v>
          </cell>
          <cell r="F12">
            <v>3.6900000000000002E-2</v>
          </cell>
        </row>
        <row r="13">
          <cell r="A13">
            <v>37834</v>
          </cell>
          <cell r="B13">
            <v>5.16E-2</v>
          </cell>
          <cell r="C13">
            <v>4.4299999999999999E-2</v>
          </cell>
          <cell r="E13">
            <v>4.2799999999999998E-2</v>
          </cell>
          <cell r="F13">
            <v>3.6900000000000002E-2</v>
          </cell>
        </row>
        <row r="14">
          <cell r="A14">
            <v>38200</v>
          </cell>
          <cell r="B14">
            <v>5.16E-2</v>
          </cell>
          <cell r="C14">
            <v>4.4299999999999999E-2</v>
          </cell>
          <cell r="E14">
            <v>4.2799999999999998E-2</v>
          </cell>
          <cell r="F14">
            <v>3.6900000000000002E-2</v>
          </cell>
        </row>
        <row r="15">
          <cell r="A15">
            <v>38384</v>
          </cell>
          <cell r="B15">
            <v>5.16E-2</v>
          </cell>
          <cell r="C15">
            <v>4.4299999999999999E-2</v>
          </cell>
          <cell r="E15">
            <v>4.2799999999999998E-2</v>
          </cell>
          <cell r="F15">
            <v>3.6900000000000002E-2</v>
          </cell>
        </row>
        <row r="16">
          <cell r="A16">
            <v>38473</v>
          </cell>
          <cell r="B16">
            <v>5.16E-2</v>
          </cell>
          <cell r="C16">
            <v>4.4299999999999999E-2</v>
          </cell>
          <cell r="E16">
            <v>4.2799999999999998E-2</v>
          </cell>
          <cell r="F16">
            <v>3.6900000000000002E-2</v>
          </cell>
        </row>
        <row r="17">
          <cell r="A17">
            <v>39114</v>
          </cell>
          <cell r="B17">
            <v>5.16E-2</v>
          </cell>
          <cell r="C17">
            <v>4.4299999999999999E-2</v>
          </cell>
          <cell r="E17">
            <v>4.2799999999999998E-2</v>
          </cell>
          <cell r="F17">
            <v>3.6900000000000002E-2</v>
          </cell>
        </row>
        <row r="18">
          <cell r="A18">
            <v>54789</v>
          </cell>
        </row>
      </sheetData>
      <sheetData sheetId="78">
        <row r="9">
          <cell r="A9" t="str">
            <v>Effective</v>
          </cell>
          <cell r="B9" t="str">
            <v>Cash Out</v>
          </cell>
        </row>
        <row r="10">
          <cell r="A10">
            <v>34912</v>
          </cell>
        </row>
        <row r="11">
          <cell r="A11">
            <v>34943</v>
          </cell>
        </row>
        <row r="12">
          <cell r="A12">
            <v>34973</v>
          </cell>
          <cell r="B12">
            <v>1.6419999999999999</v>
          </cell>
        </row>
        <row r="13">
          <cell r="A13">
            <v>35004</v>
          </cell>
          <cell r="B13">
            <v>1.7897000000000001</v>
          </cell>
        </row>
        <row r="14">
          <cell r="A14">
            <v>35034</v>
          </cell>
          <cell r="B14">
            <v>2.2010000000000001</v>
          </cell>
        </row>
        <row r="15">
          <cell r="A15">
            <v>35065</v>
          </cell>
          <cell r="B15">
            <v>2.6886999999999999</v>
          </cell>
        </row>
        <row r="16">
          <cell r="A16">
            <v>35096</v>
          </cell>
          <cell r="B16">
            <v>3.5771999999999999</v>
          </cell>
        </row>
        <row r="17">
          <cell r="A17">
            <v>35125</v>
          </cell>
          <cell r="B17">
            <v>2.5855000000000001</v>
          </cell>
        </row>
        <row r="18">
          <cell r="A18">
            <v>35156</v>
          </cell>
          <cell r="B18">
            <v>2.3755000000000002</v>
          </cell>
        </row>
        <row r="19">
          <cell r="A19">
            <v>35186</v>
          </cell>
          <cell r="B19">
            <v>2.15</v>
          </cell>
        </row>
        <row r="20">
          <cell r="A20">
            <v>35217</v>
          </cell>
          <cell r="B20">
            <v>2.3054000000000001</v>
          </cell>
        </row>
        <row r="21">
          <cell r="A21">
            <v>35247</v>
          </cell>
          <cell r="B21">
            <v>2.5177</v>
          </cell>
        </row>
        <row r="22">
          <cell r="A22">
            <v>35278</v>
          </cell>
          <cell r="B22">
            <v>2.0493000000000001</v>
          </cell>
        </row>
        <row r="23">
          <cell r="A23">
            <v>35309</v>
          </cell>
          <cell r="B23">
            <v>1.7801</v>
          </cell>
        </row>
        <row r="24">
          <cell r="A24">
            <v>35339</v>
          </cell>
          <cell r="B24">
            <v>2.2141000000000002</v>
          </cell>
        </row>
        <row r="25">
          <cell r="A25">
            <v>35370</v>
          </cell>
          <cell r="B25">
            <v>2.7025000000000001</v>
          </cell>
        </row>
        <row r="26">
          <cell r="A26">
            <v>35400</v>
          </cell>
          <cell r="B26">
            <v>3.6999</v>
          </cell>
        </row>
        <row r="27">
          <cell r="A27">
            <v>35431</v>
          </cell>
          <cell r="B27">
            <v>3.5116000000000001</v>
          </cell>
        </row>
        <row r="28">
          <cell r="A28">
            <v>35462</v>
          </cell>
          <cell r="B28">
            <v>2.3454999999999999</v>
          </cell>
        </row>
        <row r="29">
          <cell r="A29">
            <v>35490</v>
          </cell>
          <cell r="B29">
            <v>1.8333999999999999</v>
          </cell>
        </row>
        <row r="30">
          <cell r="A30">
            <v>35521</v>
          </cell>
          <cell r="B30">
            <v>1.9518</v>
          </cell>
        </row>
        <row r="31">
          <cell r="A31">
            <v>35551</v>
          </cell>
          <cell r="B31">
            <v>2.1631999999999998</v>
          </cell>
        </row>
        <row r="32">
          <cell r="A32">
            <v>35582</v>
          </cell>
          <cell r="B32">
            <v>2.1663000000000001</v>
          </cell>
        </row>
        <row r="33">
          <cell r="A33">
            <v>35612</v>
          </cell>
          <cell r="B33">
            <v>2.1326000000000001</v>
          </cell>
        </row>
        <row r="34">
          <cell r="A34">
            <v>35643</v>
          </cell>
          <cell r="B34">
            <v>2.3487</v>
          </cell>
        </row>
        <row r="35">
          <cell r="A35">
            <v>35674</v>
          </cell>
          <cell r="B35">
            <v>2.7269999999999999</v>
          </cell>
        </row>
        <row r="36">
          <cell r="A36">
            <v>35704</v>
          </cell>
          <cell r="B36">
            <v>2.9215</v>
          </cell>
        </row>
        <row r="37">
          <cell r="A37">
            <v>35735</v>
          </cell>
          <cell r="B37">
            <v>3.1263000000000001</v>
          </cell>
        </row>
        <row r="38">
          <cell r="A38">
            <v>35765</v>
          </cell>
          <cell r="B38">
            <v>2.3241999999999998</v>
          </cell>
        </row>
        <row r="39">
          <cell r="A39">
            <v>35796</v>
          </cell>
          <cell r="B39">
            <v>2.0831</v>
          </cell>
        </row>
        <row r="40">
          <cell r="A40">
            <v>35827</v>
          </cell>
          <cell r="B40">
            <v>2.1312000000000002</v>
          </cell>
        </row>
        <row r="41">
          <cell r="A41">
            <v>35855</v>
          </cell>
          <cell r="B41">
            <v>2.1817000000000002</v>
          </cell>
        </row>
        <row r="42">
          <cell r="A42">
            <v>35886</v>
          </cell>
          <cell r="B42">
            <v>2.4077999999999999</v>
          </cell>
        </row>
        <row r="43">
          <cell r="A43">
            <v>35916</v>
          </cell>
          <cell r="B43">
            <v>2.1581999999999999</v>
          </cell>
        </row>
        <row r="44">
          <cell r="A44">
            <v>35947</v>
          </cell>
          <cell r="B44">
            <v>2.0954000000000002</v>
          </cell>
        </row>
        <row r="45">
          <cell r="A45">
            <v>35977</v>
          </cell>
          <cell r="B45">
            <v>2.2130999999999998</v>
          </cell>
        </row>
        <row r="46">
          <cell r="A46">
            <v>36008</v>
          </cell>
          <cell r="B46">
            <v>1.8603000000000001</v>
          </cell>
        </row>
        <row r="47">
          <cell r="A47">
            <v>36039</v>
          </cell>
          <cell r="B47">
            <v>1.8957999999999999</v>
          </cell>
        </row>
        <row r="48">
          <cell r="A48">
            <v>36069</v>
          </cell>
          <cell r="B48">
            <v>1.9327000000000001</v>
          </cell>
        </row>
      </sheetData>
      <sheetData sheetId="79"/>
      <sheetData sheetId="80"/>
      <sheetData sheetId="81"/>
      <sheetData sheetId="82"/>
      <sheetData sheetId="83">
        <row r="1">
          <cell r="A1" t="str">
            <v>Atmos Energy Corporation</v>
          </cell>
          <cell r="L1" t="str">
            <v>Exhibit A</v>
          </cell>
        </row>
        <row r="2">
          <cell r="A2" t="str">
            <v xml:space="preserve">Comparison of Current and Previous Cases </v>
          </cell>
          <cell r="L2" t="str">
            <v>Page 1 of 5</v>
          </cell>
        </row>
        <row r="3">
          <cell r="A3" t="str">
            <v>Firm Sales Service</v>
          </cell>
        </row>
        <row r="6">
          <cell r="A6" t="str">
            <v>Line</v>
          </cell>
          <cell r="H6" t="str">
            <v>Case No.</v>
          </cell>
        </row>
        <row r="7">
          <cell r="A7" t="str">
            <v>No.</v>
          </cell>
          <cell r="C7" t="str">
            <v>Description</v>
          </cell>
          <cell r="H7" t="str">
            <v>2006-00428</v>
          </cell>
          <cell r="J7" t="str">
            <v>2006-00000</v>
          </cell>
          <cell r="L7" t="str">
            <v>Difference</v>
          </cell>
        </row>
        <row r="8">
          <cell r="H8" t="str">
            <v>$/Mcf</v>
          </cell>
          <cell r="J8" t="str">
            <v>$/Mcf</v>
          </cell>
          <cell r="L8" t="str">
            <v>$/Mcf</v>
          </cell>
        </row>
        <row r="9">
          <cell r="A9">
            <v>1</v>
          </cell>
          <cell r="C9" t="str">
            <v>G-1</v>
          </cell>
        </row>
        <row r="10">
          <cell r="A10">
            <v>2</v>
          </cell>
        </row>
        <row r="11">
          <cell r="A11">
            <v>3</v>
          </cell>
          <cell r="C11" t="str">
            <v>Commodity Charge (Base Rate per Case No. 99-070):</v>
          </cell>
        </row>
        <row r="12">
          <cell r="A12">
            <v>4</v>
          </cell>
          <cell r="C12" t="str">
            <v xml:space="preserve">  First</v>
          </cell>
          <cell r="D12">
            <v>300</v>
          </cell>
          <cell r="E12" t="str">
            <v>Mcf</v>
          </cell>
          <cell r="H12">
            <v>1.19</v>
          </cell>
          <cell r="J12">
            <v>1.19</v>
          </cell>
          <cell r="L12">
            <v>0</v>
          </cell>
        </row>
        <row r="13">
          <cell r="A13">
            <v>5</v>
          </cell>
          <cell r="C13" t="str">
            <v xml:space="preserve">  Next</v>
          </cell>
          <cell r="D13">
            <v>14700</v>
          </cell>
          <cell r="E13" t="str">
            <v>Mcf</v>
          </cell>
          <cell r="H13">
            <v>0.65900000000000003</v>
          </cell>
          <cell r="J13">
            <v>0.65900000000000003</v>
          </cell>
          <cell r="L13">
            <v>0</v>
          </cell>
        </row>
        <row r="14">
          <cell r="A14">
            <v>6</v>
          </cell>
          <cell r="C14" t="str">
            <v xml:space="preserve">  Over</v>
          </cell>
          <cell r="D14">
            <v>15000</v>
          </cell>
          <cell r="E14" t="str">
            <v>Mcf</v>
          </cell>
          <cell r="H14">
            <v>0.43</v>
          </cell>
          <cell r="J14">
            <v>0.43</v>
          </cell>
          <cell r="L14">
            <v>0</v>
          </cell>
        </row>
        <row r="15">
          <cell r="A15">
            <v>7</v>
          </cell>
        </row>
        <row r="16">
          <cell r="A16">
            <v>8</v>
          </cell>
          <cell r="C16" t="str">
            <v>Gas Cost Adjustment Components</v>
          </cell>
        </row>
        <row r="17">
          <cell r="A17">
            <v>9</v>
          </cell>
          <cell r="C17" t="str">
            <v xml:space="preserve">  EGC (Expected Gas Cost):</v>
          </cell>
        </row>
        <row r="18">
          <cell r="A18">
            <v>10</v>
          </cell>
          <cell r="C18" t="str">
            <v xml:space="preserve">    Commodity</v>
          </cell>
          <cell r="H18">
            <v>8.0540000000000003</v>
          </cell>
          <cell r="J18">
            <v>7.4814999999999996</v>
          </cell>
          <cell r="L18">
            <v>-0.57250000000000068</v>
          </cell>
        </row>
        <row r="19">
          <cell r="A19">
            <v>11</v>
          </cell>
          <cell r="C19" t="str">
            <v xml:space="preserve">    Demand</v>
          </cell>
          <cell r="H19">
            <v>1.0571999999999999</v>
          </cell>
          <cell r="J19">
            <v>1.0571999999999999</v>
          </cell>
          <cell r="L19">
            <v>0</v>
          </cell>
        </row>
        <row r="20">
          <cell r="A20">
            <v>12</v>
          </cell>
          <cell r="C20" t="str">
            <v xml:space="preserve">    Take-Or-Pay</v>
          </cell>
          <cell r="H20">
            <v>0</v>
          </cell>
          <cell r="J20">
            <v>0</v>
          </cell>
          <cell r="L20">
            <v>0</v>
          </cell>
        </row>
        <row r="21">
          <cell r="A21">
            <v>13</v>
          </cell>
          <cell r="C21" t="str">
            <v xml:space="preserve">    Transition Costs</v>
          </cell>
          <cell r="H21">
            <v>0</v>
          </cell>
          <cell r="J21">
            <v>0</v>
          </cell>
          <cell r="L21">
            <v>0</v>
          </cell>
        </row>
        <row r="22">
          <cell r="A22">
            <v>14</v>
          </cell>
          <cell r="C22" t="str">
            <v xml:space="preserve">  Total EGC</v>
          </cell>
          <cell r="H22">
            <v>9.1112000000000002</v>
          </cell>
          <cell r="J22">
            <v>8.5386999999999986</v>
          </cell>
          <cell r="L22">
            <v>-0.57250000000000156</v>
          </cell>
        </row>
        <row r="23">
          <cell r="A23">
            <v>15</v>
          </cell>
          <cell r="C23" t="str">
            <v xml:space="preserve">  Less: BCOG (Base Cost of Gas)</v>
          </cell>
          <cell r="H23">
            <v>0</v>
          </cell>
          <cell r="J23">
            <v>0</v>
          </cell>
          <cell r="L23">
            <v>0</v>
          </cell>
        </row>
        <row r="24">
          <cell r="A24">
            <v>16</v>
          </cell>
          <cell r="C24" t="str">
            <v xml:space="preserve">  CF (Correction Factor)</v>
          </cell>
          <cell r="H24">
            <v>-0.30880000000000002</v>
          </cell>
          <cell r="J24">
            <v>5.5100000000000003E-2</v>
          </cell>
          <cell r="L24">
            <v>0.3639</v>
          </cell>
        </row>
        <row r="25">
          <cell r="A25">
            <v>17</v>
          </cell>
          <cell r="C25" t="str">
            <v xml:space="preserve">  RF (Refund Adjustment)</v>
          </cell>
          <cell r="H25">
            <v>-5.5399999999999998E-2</v>
          </cell>
          <cell r="J25">
            <v>-5.5399999999999998E-2</v>
          </cell>
          <cell r="L25">
            <v>0</v>
          </cell>
        </row>
        <row r="26">
          <cell r="A26">
            <v>18</v>
          </cell>
          <cell r="C26" t="str">
            <v xml:space="preserve">  PBRRF (Performance Based Rate Recovery Factor)</v>
          </cell>
          <cell r="H26">
            <v>3.9899999999999998E-2</v>
          </cell>
          <cell r="J26">
            <v>5.0099999999999999E-2</v>
          </cell>
          <cell r="L26">
            <v>1.0200000000000001E-2</v>
          </cell>
        </row>
        <row r="27">
          <cell r="A27">
            <v>19</v>
          </cell>
          <cell r="C27" t="str">
            <v xml:space="preserve">  GCA (Gas Cost Adjustment)</v>
          </cell>
          <cell r="H27">
            <v>8.7868999999999993</v>
          </cell>
          <cell r="J27">
            <v>8.588499999999998</v>
          </cell>
          <cell r="L27">
            <v>-0.19840000000000124</v>
          </cell>
        </row>
        <row r="28">
          <cell r="A28">
            <v>20</v>
          </cell>
          <cell r="C28" t="str">
            <v xml:space="preserve">  Total Billing Cost of Gas</v>
          </cell>
          <cell r="H28">
            <v>8.7868999999999993</v>
          </cell>
          <cell r="J28">
            <v>8.588499999999998</v>
          </cell>
          <cell r="L28">
            <v>-0.19840000000000124</v>
          </cell>
        </row>
        <row r="29">
          <cell r="A29">
            <v>21</v>
          </cell>
        </row>
        <row r="30">
          <cell r="A30">
            <v>22</v>
          </cell>
          <cell r="C30" t="str">
            <v>Commodity Charge (GCA included):</v>
          </cell>
        </row>
        <row r="31">
          <cell r="A31">
            <v>23</v>
          </cell>
          <cell r="C31" t="str">
            <v xml:space="preserve">  First</v>
          </cell>
          <cell r="D31">
            <v>300</v>
          </cell>
          <cell r="E31" t="str">
            <v>Mcf</v>
          </cell>
          <cell r="H31">
            <v>9.9768999999999988</v>
          </cell>
          <cell r="J31">
            <v>9.7784999999999975</v>
          </cell>
          <cell r="L31">
            <v>-0.19840000000000124</v>
          </cell>
        </row>
        <row r="32">
          <cell r="A32">
            <v>24</v>
          </cell>
          <cell r="C32" t="str">
            <v xml:space="preserve">  Next</v>
          </cell>
          <cell r="D32">
            <v>14700</v>
          </cell>
          <cell r="E32" t="str">
            <v>Mcf</v>
          </cell>
          <cell r="H32">
            <v>9.4459</v>
          </cell>
          <cell r="J32">
            <v>9.2474999999999987</v>
          </cell>
          <cell r="L32">
            <v>-0.19840000000000124</v>
          </cell>
        </row>
        <row r="33">
          <cell r="A33">
            <v>25</v>
          </cell>
          <cell r="C33" t="str">
            <v xml:space="preserve">  Over</v>
          </cell>
          <cell r="D33">
            <v>15000</v>
          </cell>
          <cell r="E33" t="str">
            <v>Mcf</v>
          </cell>
          <cell r="H33">
            <v>9.216899999999999</v>
          </cell>
          <cell r="J33">
            <v>9.0184999999999977</v>
          </cell>
          <cell r="L33">
            <v>-0.19840000000000124</v>
          </cell>
        </row>
        <row r="34">
          <cell r="A34">
            <v>26</v>
          </cell>
        </row>
        <row r="35">
          <cell r="A35">
            <v>27</v>
          </cell>
          <cell r="C35" t="str">
            <v>HLF (High Load Factor)</v>
          </cell>
        </row>
        <row r="36">
          <cell r="A36">
            <v>28</v>
          </cell>
        </row>
        <row r="37">
          <cell r="A37">
            <v>29</v>
          </cell>
          <cell r="C37" t="str">
            <v>Commodity Charge (Base Rate per Case No. 99-070):</v>
          </cell>
        </row>
        <row r="38">
          <cell r="A38">
            <v>30</v>
          </cell>
          <cell r="C38" t="str">
            <v xml:space="preserve">  First</v>
          </cell>
          <cell r="D38">
            <v>300</v>
          </cell>
          <cell r="E38" t="str">
            <v>Mcf</v>
          </cell>
          <cell r="H38">
            <v>1.19</v>
          </cell>
          <cell r="J38">
            <v>1.19</v>
          </cell>
          <cell r="L38">
            <v>0</v>
          </cell>
        </row>
        <row r="39">
          <cell r="A39">
            <v>31</v>
          </cell>
          <cell r="C39" t="str">
            <v xml:space="preserve">  Next</v>
          </cell>
          <cell r="D39">
            <v>14700</v>
          </cell>
          <cell r="E39" t="str">
            <v>Mcf</v>
          </cell>
          <cell r="H39">
            <v>0.65900000000000003</v>
          </cell>
          <cell r="J39">
            <v>0.65900000000000003</v>
          </cell>
          <cell r="L39">
            <v>0</v>
          </cell>
        </row>
        <row r="40">
          <cell r="A40">
            <v>32</v>
          </cell>
          <cell r="C40" t="str">
            <v xml:space="preserve">  Over</v>
          </cell>
          <cell r="D40">
            <v>15000</v>
          </cell>
          <cell r="E40" t="str">
            <v>Mcf</v>
          </cell>
          <cell r="H40">
            <v>0.43</v>
          </cell>
          <cell r="J40">
            <v>0.43</v>
          </cell>
          <cell r="L40">
            <v>0</v>
          </cell>
        </row>
        <row r="41">
          <cell r="A41">
            <v>33</v>
          </cell>
        </row>
        <row r="42">
          <cell r="A42">
            <v>34</v>
          </cell>
          <cell r="C42" t="str">
            <v>Gas Cost Adjustment Components</v>
          </cell>
        </row>
        <row r="43">
          <cell r="A43">
            <v>35</v>
          </cell>
          <cell r="C43" t="str">
            <v xml:space="preserve">  EGC (Expected Gas Cost):</v>
          </cell>
        </row>
        <row r="44">
          <cell r="A44">
            <v>36</v>
          </cell>
          <cell r="C44" t="str">
            <v xml:space="preserve">    Commodity</v>
          </cell>
          <cell r="H44">
            <v>8.0540000000000003</v>
          </cell>
          <cell r="J44">
            <v>7.4814999999999996</v>
          </cell>
          <cell r="L44">
            <v>-0.57250000000000068</v>
          </cell>
        </row>
        <row r="45">
          <cell r="A45">
            <v>37</v>
          </cell>
          <cell r="C45" t="str">
            <v xml:space="preserve">    Demand</v>
          </cell>
          <cell r="H45">
            <v>0.18390000000000001</v>
          </cell>
          <cell r="J45">
            <v>0.18390000000000001</v>
          </cell>
          <cell r="L45">
            <v>0</v>
          </cell>
        </row>
        <row r="46">
          <cell r="A46">
            <v>38</v>
          </cell>
          <cell r="C46" t="str">
            <v xml:space="preserve">    Take-Or-Pay</v>
          </cell>
          <cell r="H46">
            <v>0</v>
          </cell>
          <cell r="J46">
            <v>0</v>
          </cell>
          <cell r="L46">
            <v>0</v>
          </cell>
        </row>
        <row r="47">
          <cell r="A47">
            <v>39</v>
          </cell>
          <cell r="C47" t="str">
            <v xml:space="preserve">    Transition Costs</v>
          </cell>
          <cell r="H47">
            <v>0</v>
          </cell>
          <cell r="J47">
            <v>0</v>
          </cell>
          <cell r="L47">
            <v>0</v>
          </cell>
        </row>
        <row r="48">
          <cell r="A48">
            <v>40</v>
          </cell>
          <cell r="C48" t="str">
            <v xml:space="preserve">  Total EGC</v>
          </cell>
          <cell r="H48">
            <v>8.2378999999999998</v>
          </cell>
          <cell r="J48">
            <v>7.6654</v>
          </cell>
          <cell r="L48">
            <v>-0.57249999999999979</v>
          </cell>
        </row>
        <row r="49">
          <cell r="A49">
            <v>41</v>
          </cell>
          <cell r="C49" t="str">
            <v xml:space="preserve">  Less: BCOG (Base Cost of Gas)</v>
          </cell>
          <cell r="H49">
            <v>0</v>
          </cell>
          <cell r="J49">
            <v>0</v>
          </cell>
          <cell r="L49">
            <v>0</v>
          </cell>
        </row>
        <row r="50">
          <cell r="A50">
            <v>42</v>
          </cell>
          <cell r="C50" t="str">
            <v xml:space="preserve">  CF (Correction Factor)</v>
          </cell>
          <cell r="H50">
            <v>-0.30880000000000002</v>
          </cell>
          <cell r="J50">
            <v>5.5100000000000003E-2</v>
          </cell>
          <cell r="L50">
            <v>0.3639</v>
          </cell>
        </row>
        <row r="51">
          <cell r="A51">
            <v>43</v>
          </cell>
          <cell r="C51" t="str">
            <v xml:space="preserve">  RF (Refund Adjustment)</v>
          </cell>
          <cell r="H51">
            <v>-5.5399999999999998E-2</v>
          </cell>
          <cell r="J51">
            <v>-5.5399999999999998E-2</v>
          </cell>
          <cell r="L51">
            <v>0</v>
          </cell>
        </row>
        <row r="52">
          <cell r="A52">
            <v>44</v>
          </cell>
          <cell r="C52" t="str">
            <v xml:space="preserve">  PBRRF (Performance Based Rate Recovery Factor)</v>
          </cell>
          <cell r="H52">
            <v>3.9899999999999998E-2</v>
          </cell>
          <cell r="J52">
            <v>5.0099999999999999E-2</v>
          </cell>
          <cell r="L52">
            <v>1.0200000000000001E-2</v>
          </cell>
        </row>
        <row r="53">
          <cell r="A53">
            <v>45</v>
          </cell>
          <cell r="C53" t="str">
            <v xml:space="preserve">  GCA (Gas Cost Adjustment)</v>
          </cell>
          <cell r="H53">
            <v>7.9136000000000006</v>
          </cell>
          <cell r="J53">
            <v>7.7152000000000003</v>
          </cell>
          <cell r="L53">
            <v>-0.19840000000000035</v>
          </cell>
        </row>
        <row r="54">
          <cell r="A54">
            <v>46</v>
          </cell>
          <cell r="C54" t="str">
            <v xml:space="preserve">  Total Cost of Gas to Bill (excludes MDQ Demand)</v>
          </cell>
          <cell r="H54">
            <v>7.9136000000000006</v>
          </cell>
          <cell r="J54">
            <v>7.7152000000000003</v>
          </cell>
          <cell r="L54">
            <v>-0.19840000000000035</v>
          </cell>
        </row>
        <row r="55">
          <cell r="A55">
            <v>47</v>
          </cell>
        </row>
        <row r="56">
          <cell r="A56">
            <v>48</v>
          </cell>
          <cell r="C56" t="str">
            <v>Commodity Charge (GCA included):</v>
          </cell>
        </row>
        <row r="57">
          <cell r="A57">
            <v>49</v>
          </cell>
          <cell r="C57" t="str">
            <v xml:space="preserve">  First</v>
          </cell>
          <cell r="D57">
            <v>300</v>
          </cell>
          <cell r="E57" t="str">
            <v>Mcf</v>
          </cell>
          <cell r="H57">
            <v>9.1036000000000001</v>
          </cell>
          <cell r="J57">
            <v>8.9052000000000007</v>
          </cell>
          <cell r="L57">
            <v>-0.19839999999999947</v>
          </cell>
        </row>
        <row r="58">
          <cell r="A58">
            <v>50</v>
          </cell>
          <cell r="C58" t="str">
            <v xml:space="preserve">  Next</v>
          </cell>
          <cell r="D58">
            <v>14700</v>
          </cell>
          <cell r="E58" t="str">
            <v>Mcf</v>
          </cell>
          <cell r="H58">
            <v>8.5726000000000013</v>
          </cell>
          <cell r="J58">
            <v>8.3742000000000001</v>
          </cell>
          <cell r="L58">
            <v>-0.19840000000000124</v>
          </cell>
        </row>
        <row r="59">
          <cell r="A59">
            <v>51</v>
          </cell>
          <cell r="C59" t="str">
            <v xml:space="preserve">  Over</v>
          </cell>
          <cell r="D59">
            <v>15000</v>
          </cell>
          <cell r="E59" t="str">
            <v>Mcf</v>
          </cell>
          <cell r="H59">
            <v>8.3436000000000003</v>
          </cell>
          <cell r="J59">
            <v>8.1452000000000009</v>
          </cell>
          <cell r="L59">
            <v>-0.19839999999999947</v>
          </cell>
        </row>
        <row r="60">
          <cell r="A60">
            <v>52</v>
          </cell>
        </row>
        <row r="61">
          <cell r="A61">
            <v>53</v>
          </cell>
          <cell r="C61" t="str">
            <v>HLF Demand</v>
          </cell>
        </row>
        <row r="62">
          <cell r="A62">
            <v>54</v>
          </cell>
          <cell r="C62" t="str">
            <v xml:space="preserve">  Contract Demand Factor</v>
          </cell>
          <cell r="H62">
            <v>4.5575999999999999</v>
          </cell>
          <cell r="J62">
            <v>4.5575999999999999</v>
          </cell>
          <cell r="L62">
            <v>0</v>
          </cell>
        </row>
      </sheetData>
      <sheetData sheetId="84">
        <row r="1">
          <cell r="A1" t="str">
            <v>Atmos Energy Corporation</v>
          </cell>
          <cell r="L1" t="str">
            <v>Exhibit A</v>
          </cell>
        </row>
        <row r="2">
          <cell r="A2" t="str">
            <v xml:space="preserve">Comparison of Current and Previous Cases </v>
          </cell>
          <cell r="L2" t="str">
            <v>Page 2 of 5</v>
          </cell>
        </row>
        <row r="3">
          <cell r="A3" t="str">
            <v>Interruptible Sales Service</v>
          </cell>
        </row>
        <row r="6">
          <cell r="A6" t="str">
            <v>Line</v>
          </cell>
          <cell r="H6" t="str">
            <v>Case No.</v>
          </cell>
        </row>
        <row r="7">
          <cell r="A7" t="str">
            <v>No.</v>
          </cell>
          <cell r="C7" t="str">
            <v>Description</v>
          </cell>
          <cell r="H7" t="str">
            <v>2006-00428</v>
          </cell>
          <cell r="J7" t="str">
            <v>2006-00000</v>
          </cell>
          <cell r="L7" t="str">
            <v>Difference</v>
          </cell>
        </row>
        <row r="8">
          <cell r="H8" t="str">
            <v>$/Mcf</v>
          </cell>
          <cell r="J8" t="str">
            <v>$/Mcf</v>
          </cell>
          <cell r="L8" t="str">
            <v>$/Mcf</v>
          </cell>
        </row>
        <row r="9">
          <cell r="A9">
            <v>1</v>
          </cell>
          <cell r="C9" t="str">
            <v>G-2</v>
          </cell>
        </row>
        <row r="10">
          <cell r="A10">
            <v>2</v>
          </cell>
        </row>
        <row r="11">
          <cell r="A11">
            <v>3</v>
          </cell>
          <cell r="C11" t="str">
            <v>Commodity Charge (Base Rate per Case No. 99-070):</v>
          </cell>
        </row>
        <row r="12">
          <cell r="A12">
            <v>4</v>
          </cell>
          <cell r="C12" t="str">
            <v xml:space="preserve">  First</v>
          </cell>
          <cell r="D12">
            <v>15000</v>
          </cell>
          <cell r="E12" t="str">
            <v>Mcf</v>
          </cell>
          <cell r="H12">
            <v>0.53</v>
          </cell>
          <cell r="J12">
            <v>0.53</v>
          </cell>
          <cell r="L12">
            <v>0</v>
          </cell>
        </row>
        <row r="13">
          <cell r="A13">
            <v>5</v>
          </cell>
          <cell r="C13" t="str">
            <v xml:space="preserve">  Over</v>
          </cell>
          <cell r="D13">
            <v>15000</v>
          </cell>
          <cell r="E13" t="str">
            <v>Mcf</v>
          </cell>
          <cell r="H13">
            <v>0.35909999999999997</v>
          </cell>
          <cell r="J13">
            <v>0.35909999999999997</v>
          </cell>
          <cell r="L13">
            <v>0</v>
          </cell>
        </row>
        <row r="14">
          <cell r="A14">
            <v>6</v>
          </cell>
        </row>
        <row r="15">
          <cell r="A15">
            <v>7</v>
          </cell>
          <cell r="C15" t="str">
            <v>Gas Cost Adjustment Components</v>
          </cell>
        </row>
        <row r="16">
          <cell r="A16">
            <v>8</v>
          </cell>
          <cell r="C16" t="str">
            <v xml:space="preserve">  Expected Gas Cost (EGC):</v>
          </cell>
        </row>
        <row r="17">
          <cell r="A17">
            <v>9</v>
          </cell>
          <cell r="C17" t="str">
            <v xml:space="preserve">    Commodity</v>
          </cell>
          <cell r="H17">
            <v>8.0540000000000003</v>
          </cell>
          <cell r="J17">
            <v>7.4814999999999996</v>
          </cell>
          <cell r="L17">
            <v>-0.57250000000000068</v>
          </cell>
        </row>
        <row r="18">
          <cell r="A18">
            <v>10</v>
          </cell>
          <cell r="C18" t="str">
            <v xml:space="preserve">    Demand</v>
          </cell>
          <cell r="H18">
            <v>0.18390000000000001</v>
          </cell>
          <cell r="J18">
            <v>0.18390000000000001</v>
          </cell>
          <cell r="L18">
            <v>0</v>
          </cell>
        </row>
        <row r="19">
          <cell r="A19">
            <v>11</v>
          </cell>
          <cell r="C19" t="str">
            <v xml:space="preserve">    Take-Or-Pay</v>
          </cell>
          <cell r="H19">
            <v>0</v>
          </cell>
          <cell r="J19">
            <v>0</v>
          </cell>
          <cell r="L19">
            <v>0</v>
          </cell>
        </row>
        <row r="20">
          <cell r="A20">
            <v>12</v>
          </cell>
          <cell r="C20" t="str">
            <v xml:space="preserve">    Transition Costs</v>
          </cell>
          <cell r="H20">
            <v>0</v>
          </cell>
          <cell r="J20">
            <v>0</v>
          </cell>
          <cell r="L20">
            <v>0</v>
          </cell>
        </row>
        <row r="21">
          <cell r="A21">
            <v>13</v>
          </cell>
          <cell r="C21" t="str">
            <v xml:space="preserve">  Total EGC</v>
          </cell>
          <cell r="H21">
            <v>8.2378999999999998</v>
          </cell>
          <cell r="J21">
            <v>7.6654</v>
          </cell>
          <cell r="L21">
            <v>-0.57249999999999979</v>
          </cell>
        </row>
        <row r="22">
          <cell r="A22">
            <v>14</v>
          </cell>
          <cell r="C22" t="str">
            <v xml:space="preserve">  Less: Base Cost of Gas (BCOG)</v>
          </cell>
          <cell r="H22">
            <v>0</v>
          </cell>
          <cell r="J22">
            <v>0</v>
          </cell>
          <cell r="L22">
            <v>0</v>
          </cell>
        </row>
        <row r="23">
          <cell r="A23">
            <v>15</v>
          </cell>
          <cell r="C23" t="str">
            <v xml:space="preserve">  Correction Factor  (CF)</v>
          </cell>
          <cell r="H23">
            <v>-0.30880000000000002</v>
          </cell>
          <cell r="J23">
            <v>5.5100000000000003E-2</v>
          </cell>
          <cell r="L23">
            <v>0.3639</v>
          </cell>
        </row>
        <row r="24">
          <cell r="A24">
            <v>16</v>
          </cell>
          <cell r="C24" t="str">
            <v xml:space="preserve">  Refund Adjustment (RF)</v>
          </cell>
          <cell r="H24">
            <v>-5.5399999999999998E-2</v>
          </cell>
          <cell r="J24">
            <v>-5.5399999999999998E-2</v>
          </cell>
          <cell r="L24">
            <v>0</v>
          </cell>
        </row>
        <row r="25">
          <cell r="A25">
            <v>17</v>
          </cell>
          <cell r="C25" t="str">
            <v xml:space="preserve">  Performance Based Rate Recovery Factor (PBRRF)</v>
          </cell>
          <cell r="H25">
            <v>3.9899999999999998E-2</v>
          </cell>
          <cell r="J25">
            <v>5.0099999999999999E-2</v>
          </cell>
          <cell r="L25">
            <v>1.0200000000000001E-2</v>
          </cell>
        </row>
        <row r="26">
          <cell r="A26">
            <v>18</v>
          </cell>
          <cell r="C26" t="str">
            <v xml:space="preserve">  Gas Cost Adjustment (GCA)</v>
          </cell>
          <cell r="H26">
            <v>7.9136000000000006</v>
          </cell>
          <cell r="J26">
            <v>7.7152000000000003</v>
          </cell>
          <cell r="L26">
            <v>-0.19840000000000035</v>
          </cell>
        </row>
        <row r="27">
          <cell r="A27">
            <v>19</v>
          </cell>
          <cell r="C27" t="str">
            <v xml:space="preserve">  Total Cost of Gas to Bill</v>
          </cell>
          <cell r="H27">
            <v>7.9136000000000006</v>
          </cell>
          <cell r="J27">
            <v>7.7152000000000003</v>
          </cell>
          <cell r="L27">
            <v>-0.19840000000000035</v>
          </cell>
        </row>
        <row r="28">
          <cell r="A28">
            <v>20</v>
          </cell>
        </row>
        <row r="29">
          <cell r="A29">
            <v>21</v>
          </cell>
          <cell r="C29" t="str">
            <v>Commodity Charge (GCA included):</v>
          </cell>
        </row>
        <row r="30">
          <cell r="A30">
            <v>22</v>
          </cell>
          <cell r="C30" t="str">
            <v xml:space="preserve">  First</v>
          </cell>
          <cell r="D30">
            <v>15000</v>
          </cell>
          <cell r="E30" t="str">
            <v>Mcf</v>
          </cell>
          <cell r="H30">
            <v>8.4436</v>
          </cell>
          <cell r="J30">
            <v>8.2452000000000005</v>
          </cell>
          <cell r="L30">
            <v>-0.19839999999999947</v>
          </cell>
        </row>
        <row r="31">
          <cell r="A31">
            <v>23</v>
          </cell>
          <cell r="C31" t="str">
            <v xml:space="preserve">  Over</v>
          </cell>
          <cell r="D31">
            <v>15000</v>
          </cell>
          <cell r="E31" t="str">
            <v>Mcf</v>
          </cell>
          <cell r="H31">
            <v>8.2727000000000004</v>
          </cell>
          <cell r="J31">
            <v>8.0743000000000009</v>
          </cell>
          <cell r="L31">
            <v>-0.19839999999999947</v>
          </cell>
        </row>
        <row r="32">
          <cell r="A32">
            <v>24</v>
          </cell>
        </row>
        <row r="33">
          <cell r="A33">
            <v>25</v>
          </cell>
        </row>
      </sheetData>
      <sheetData sheetId="85">
        <row r="1">
          <cell r="A1" t="str">
            <v>Atmos Energy Corporation</v>
          </cell>
          <cell r="L1" t="str">
            <v>Exhibit A</v>
          </cell>
        </row>
        <row r="2">
          <cell r="A2" t="str">
            <v xml:space="preserve">Comparison of Current and Previous Cases </v>
          </cell>
          <cell r="L2" t="str">
            <v>Page 3 of 5</v>
          </cell>
        </row>
        <row r="3">
          <cell r="A3" t="str">
            <v>Firm Transportation Service</v>
          </cell>
        </row>
        <row r="6">
          <cell r="A6" t="str">
            <v>Line</v>
          </cell>
          <cell r="H6" t="str">
            <v>Case No.</v>
          </cell>
        </row>
        <row r="7">
          <cell r="A7" t="str">
            <v>No.</v>
          </cell>
          <cell r="C7" t="str">
            <v>Description</v>
          </cell>
          <cell r="H7" t="str">
            <v>2006-00428</v>
          </cell>
          <cell r="J7" t="str">
            <v>2006-00000</v>
          </cell>
          <cell r="L7" t="str">
            <v>Difference</v>
          </cell>
        </row>
        <row r="8">
          <cell r="H8" t="str">
            <v>$/Mcf</v>
          </cell>
          <cell r="J8" t="str">
            <v>$/Mcf</v>
          </cell>
          <cell r="L8" t="str">
            <v>$/Mcf</v>
          </cell>
        </row>
        <row r="9">
          <cell r="A9">
            <v>1</v>
          </cell>
          <cell r="C9" t="str">
            <v>T-2 \ G-1</v>
          </cell>
        </row>
        <row r="10">
          <cell r="A10">
            <v>2</v>
          </cell>
        </row>
        <row r="11">
          <cell r="A11">
            <v>3</v>
          </cell>
          <cell r="C11" t="str">
            <v/>
          </cell>
        </row>
        <row r="12">
          <cell r="A12">
            <v>4</v>
          </cell>
          <cell r="D12" t="str">
            <v>Simple Margin (Base Rate per Case No. 99-070):</v>
          </cell>
        </row>
        <row r="13">
          <cell r="A13">
            <v>5</v>
          </cell>
          <cell r="D13" t="str">
            <v xml:space="preserve">  First</v>
          </cell>
          <cell r="E13">
            <v>300</v>
          </cell>
          <cell r="F13" t="str">
            <v>Mcf</v>
          </cell>
          <cell r="H13">
            <v>1.19</v>
          </cell>
          <cell r="J13">
            <v>1.19</v>
          </cell>
          <cell r="L13">
            <v>0</v>
          </cell>
        </row>
        <row r="14">
          <cell r="A14">
            <v>6</v>
          </cell>
          <cell r="D14" t="str">
            <v xml:space="preserve">  Next</v>
          </cell>
          <cell r="E14">
            <v>14700</v>
          </cell>
          <cell r="F14" t="str">
            <v>Mcf</v>
          </cell>
          <cell r="H14">
            <v>0.65900000000000003</v>
          </cell>
          <cell r="J14">
            <v>0.65900000000000003</v>
          </cell>
          <cell r="L14">
            <v>0</v>
          </cell>
        </row>
        <row r="15">
          <cell r="A15">
            <v>7</v>
          </cell>
          <cell r="D15" t="str">
            <v xml:space="preserve">  Over</v>
          </cell>
          <cell r="E15">
            <v>15000</v>
          </cell>
          <cell r="F15" t="str">
            <v>Mcf</v>
          </cell>
          <cell r="H15">
            <v>0.43</v>
          </cell>
          <cell r="J15">
            <v>0.43</v>
          </cell>
          <cell r="L15">
            <v>0</v>
          </cell>
        </row>
        <row r="16">
          <cell r="A16">
            <v>8</v>
          </cell>
        </row>
        <row r="17">
          <cell r="A17">
            <v>9</v>
          </cell>
          <cell r="D17" t="str">
            <v>Non-Commodity Components:</v>
          </cell>
        </row>
        <row r="18">
          <cell r="A18">
            <v>10</v>
          </cell>
          <cell r="D18" t="str">
            <v xml:space="preserve">  Demand</v>
          </cell>
          <cell r="H18">
            <v>1.0571999999999999</v>
          </cell>
          <cell r="J18">
            <v>1.0571999999999999</v>
          </cell>
          <cell r="L18">
            <v>0</v>
          </cell>
        </row>
        <row r="19">
          <cell r="A19">
            <v>11</v>
          </cell>
          <cell r="D19" t="str">
            <v xml:space="preserve">  Take-Or-Pay</v>
          </cell>
          <cell r="H19">
            <v>0</v>
          </cell>
          <cell r="J19">
            <v>0</v>
          </cell>
          <cell r="L19">
            <v>0</v>
          </cell>
        </row>
        <row r="20">
          <cell r="A20">
            <v>12</v>
          </cell>
          <cell r="D20" t="str">
            <v xml:space="preserve">  Transition Costs</v>
          </cell>
          <cell r="H20">
            <v>0</v>
          </cell>
          <cell r="J20">
            <v>0</v>
          </cell>
          <cell r="L20">
            <v>0</v>
          </cell>
        </row>
        <row r="21">
          <cell r="A21">
            <v>13</v>
          </cell>
          <cell r="D21" t="str">
            <v xml:space="preserve">  RF (Refund Adjustment)</v>
          </cell>
          <cell r="H21">
            <v>0</v>
          </cell>
          <cell r="J21">
            <v>0</v>
          </cell>
          <cell r="L21">
            <v>0</v>
          </cell>
        </row>
        <row r="22">
          <cell r="A22">
            <v>14</v>
          </cell>
          <cell r="D22" t="str">
            <v xml:space="preserve">  Total</v>
          </cell>
          <cell r="H22">
            <v>1.0571999999999999</v>
          </cell>
          <cell r="J22">
            <v>1.0571999999999999</v>
          </cell>
          <cell r="L22">
            <v>0</v>
          </cell>
        </row>
        <row r="23">
          <cell r="A23">
            <v>15</v>
          </cell>
        </row>
        <row r="24">
          <cell r="A24">
            <v>16</v>
          </cell>
          <cell r="D24" t="str">
            <v>Gross Margin:</v>
          </cell>
        </row>
        <row r="25">
          <cell r="A25">
            <v>17</v>
          </cell>
          <cell r="D25" t="str">
            <v xml:space="preserve">  First</v>
          </cell>
          <cell r="E25">
            <v>300</v>
          </cell>
          <cell r="F25" t="str">
            <v>Mcf</v>
          </cell>
          <cell r="H25">
            <v>2.2471999999999999</v>
          </cell>
          <cell r="J25">
            <v>2.2471999999999999</v>
          </cell>
          <cell r="L25">
            <v>0</v>
          </cell>
        </row>
        <row r="26">
          <cell r="A26">
            <v>18</v>
          </cell>
          <cell r="D26" t="str">
            <v xml:space="preserve">  Next</v>
          </cell>
          <cell r="E26">
            <v>14700</v>
          </cell>
          <cell r="F26" t="str">
            <v>Mcf</v>
          </cell>
          <cell r="H26">
            <v>1.7161999999999999</v>
          </cell>
          <cell r="J26">
            <v>1.7161999999999999</v>
          </cell>
          <cell r="L26">
            <v>0</v>
          </cell>
        </row>
        <row r="27">
          <cell r="A27">
            <v>19</v>
          </cell>
          <cell r="D27" t="str">
            <v xml:space="preserve">  Over</v>
          </cell>
          <cell r="E27">
            <v>15000</v>
          </cell>
          <cell r="F27" t="str">
            <v>Mcf</v>
          </cell>
          <cell r="H27">
            <v>1.4871999999999999</v>
          </cell>
          <cell r="J27">
            <v>1.4871999999999999</v>
          </cell>
          <cell r="L27">
            <v>0</v>
          </cell>
        </row>
        <row r="28">
          <cell r="A28">
            <v>20</v>
          </cell>
        </row>
        <row r="29">
          <cell r="A29">
            <v>21</v>
          </cell>
          <cell r="C29" t="str">
            <v>T-2\G-1\HLF</v>
          </cell>
        </row>
        <row r="30">
          <cell r="A30">
            <v>22</v>
          </cell>
        </row>
        <row r="31">
          <cell r="A31">
            <v>23</v>
          </cell>
          <cell r="D31" t="str">
            <v>Simple Margin (Base Rate per Case No. 99-070):</v>
          </cell>
        </row>
        <row r="32">
          <cell r="A32">
            <v>24</v>
          </cell>
          <cell r="D32" t="str">
            <v xml:space="preserve">  First</v>
          </cell>
          <cell r="E32">
            <v>300</v>
          </cell>
          <cell r="F32" t="str">
            <v>Mcf</v>
          </cell>
          <cell r="H32">
            <v>1.19</v>
          </cell>
          <cell r="J32">
            <v>1.19</v>
          </cell>
          <cell r="L32">
            <v>0</v>
          </cell>
        </row>
        <row r="33">
          <cell r="A33">
            <v>25</v>
          </cell>
          <cell r="D33" t="str">
            <v xml:space="preserve">  Next</v>
          </cell>
          <cell r="E33">
            <v>14700</v>
          </cell>
          <cell r="F33" t="str">
            <v>Mcf</v>
          </cell>
          <cell r="H33">
            <v>0.65900000000000003</v>
          </cell>
          <cell r="J33">
            <v>0.65900000000000003</v>
          </cell>
          <cell r="L33">
            <v>0</v>
          </cell>
        </row>
        <row r="34">
          <cell r="A34">
            <v>26</v>
          </cell>
          <cell r="D34" t="str">
            <v xml:space="preserve">  Over</v>
          </cell>
          <cell r="E34">
            <v>15000</v>
          </cell>
          <cell r="F34" t="str">
            <v>Mcf</v>
          </cell>
          <cell r="H34">
            <v>0.43</v>
          </cell>
          <cell r="J34">
            <v>0.43</v>
          </cell>
          <cell r="L34">
            <v>0</v>
          </cell>
        </row>
        <row r="35">
          <cell r="A35">
            <v>27</v>
          </cell>
        </row>
        <row r="36">
          <cell r="A36">
            <v>28</v>
          </cell>
          <cell r="D36" t="str">
            <v>Non-Commodity Components:</v>
          </cell>
        </row>
        <row r="37">
          <cell r="A37">
            <v>29</v>
          </cell>
          <cell r="D37" t="str">
            <v xml:space="preserve">  Demand</v>
          </cell>
          <cell r="H37">
            <v>0.18390000000000001</v>
          </cell>
          <cell r="J37">
            <v>0.18390000000000001</v>
          </cell>
          <cell r="L37">
            <v>0</v>
          </cell>
        </row>
        <row r="38">
          <cell r="A38">
            <v>30</v>
          </cell>
          <cell r="D38" t="str">
            <v xml:space="preserve">  Take-Or-Pay</v>
          </cell>
          <cell r="H38">
            <v>0</v>
          </cell>
          <cell r="J38">
            <v>0</v>
          </cell>
          <cell r="L38">
            <v>0</v>
          </cell>
        </row>
        <row r="39">
          <cell r="A39">
            <v>31</v>
          </cell>
          <cell r="D39" t="str">
            <v xml:space="preserve">  Transition Costs</v>
          </cell>
          <cell r="H39">
            <v>0</v>
          </cell>
          <cell r="J39">
            <v>0</v>
          </cell>
          <cell r="L39">
            <v>0</v>
          </cell>
        </row>
        <row r="40">
          <cell r="A40">
            <v>32</v>
          </cell>
          <cell r="D40" t="str">
            <v xml:space="preserve">  RF (Refund Adjustment)</v>
          </cell>
          <cell r="H40">
            <v>0</v>
          </cell>
          <cell r="J40">
            <v>0</v>
          </cell>
          <cell r="L40">
            <v>0</v>
          </cell>
        </row>
        <row r="41">
          <cell r="A41">
            <v>33</v>
          </cell>
          <cell r="D41" t="str">
            <v xml:space="preserve">  Total</v>
          </cell>
          <cell r="H41">
            <v>0.18390000000000001</v>
          </cell>
          <cell r="J41">
            <v>0.18390000000000001</v>
          </cell>
          <cell r="L41">
            <v>0</v>
          </cell>
        </row>
        <row r="42">
          <cell r="A42">
            <v>34</v>
          </cell>
        </row>
        <row r="43">
          <cell r="A43">
            <v>35</v>
          </cell>
          <cell r="D43" t="str">
            <v>Gross Margin (Excluding HLF Demand):</v>
          </cell>
        </row>
        <row r="44">
          <cell r="A44">
            <v>36</v>
          </cell>
          <cell r="D44" t="str">
            <v xml:space="preserve">  First</v>
          </cell>
          <cell r="E44">
            <v>300</v>
          </cell>
          <cell r="F44" t="str">
            <v>Mcf</v>
          </cell>
          <cell r="H44">
            <v>1.3738999999999999</v>
          </cell>
          <cell r="J44">
            <v>1.3738999999999999</v>
          </cell>
          <cell r="L44">
            <v>0</v>
          </cell>
        </row>
        <row r="45">
          <cell r="A45">
            <v>37</v>
          </cell>
          <cell r="D45" t="str">
            <v xml:space="preserve">  Next</v>
          </cell>
          <cell r="E45">
            <v>14700</v>
          </cell>
          <cell r="F45" t="str">
            <v>Mcf</v>
          </cell>
          <cell r="H45">
            <v>0.84289999999999998</v>
          </cell>
          <cell r="J45">
            <v>0.84289999999999998</v>
          </cell>
          <cell r="L45">
            <v>0</v>
          </cell>
        </row>
        <row r="46">
          <cell r="A46">
            <v>38</v>
          </cell>
          <cell r="D46" t="str">
            <v xml:space="preserve">  Over</v>
          </cell>
          <cell r="E46">
            <v>15000</v>
          </cell>
          <cell r="F46" t="str">
            <v>Mcf</v>
          </cell>
          <cell r="H46">
            <v>0.6139</v>
          </cell>
          <cell r="J46">
            <v>0.6139</v>
          </cell>
          <cell r="L46">
            <v>0</v>
          </cell>
        </row>
        <row r="47">
          <cell r="A47">
            <v>39</v>
          </cell>
        </row>
        <row r="48">
          <cell r="A48">
            <v>40</v>
          </cell>
          <cell r="D48" t="str">
            <v>HLF Demand</v>
          </cell>
        </row>
        <row r="49">
          <cell r="A49">
            <v>41</v>
          </cell>
          <cell r="D49" t="str">
            <v xml:space="preserve">  Contract Demand Factor</v>
          </cell>
          <cell r="H49">
            <v>4.5575999999999999</v>
          </cell>
          <cell r="J49">
            <v>4.5575999999999999</v>
          </cell>
          <cell r="L49">
            <v>0</v>
          </cell>
        </row>
      </sheetData>
      <sheetData sheetId="86">
        <row r="1">
          <cell r="A1" t="str">
            <v>Atmos Energy Corporation</v>
          </cell>
          <cell r="L1" t="str">
            <v>Exhibit A</v>
          </cell>
        </row>
        <row r="2">
          <cell r="A2" t="str">
            <v xml:space="preserve">Comparison of Current and Previous Cases </v>
          </cell>
          <cell r="L2" t="str">
            <v>Page 4 of 5</v>
          </cell>
        </row>
        <row r="3">
          <cell r="A3" t="str">
            <v>Firm Transportation Service</v>
          </cell>
        </row>
        <row r="6">
          <cell r="A6" t="str">
            <v>Line</v>
          </cell>
          <cell r="H6" t="str">
            <v>Case No.</v>
          </cell>
        </row>
        <row r="7">
          <cell r="A7" t="str">
            <v>No.</v>
          </cell>
          <cell r="C7" t="str">
            <v>Description</v>
          </cell>
          <cell r="H7" t="str">
            <v>2006-00428</v>
          </cell>
          <cell r="J7" t="str">
            <v>2006-00000</v>
          </cell>
          <cell r="L7" t="str">
            <v>Difference</v>
          </cell>
        </row>
        <row r="8">
          <cell r="H8" t="str">
            <v>$/Mcf</v>
          </cell>
          <cell r="J8" t="str">
            <v>$/Mcf</v>
          </cell>
          <cell r="L8" t="str">
            <v>$/Mcf</v>
          </cell>
        </row>
        <row r="9">
          <cell r="A9">
            <v>1</v>
          </cell>
          <cell r="C9" t="str">
            <v>Carriage Service</v>
          </cell>
        </row>
        <row r="10">
          <cell r="A10">
            <v>2</v>
          </cell>
        </row>
        <row r="11">
          <cell r="A11">
            <v>3</v>
          </cell>
          <cell r="C11" t="str">
            <v>Firm Service (T-4)</v>
          </cell>
        </row>
        <row r="12">
          <cell r="A12">
            <v>4</v>
          </cell>
          <cell r="D12" t="str">
            <v>Simple Margin (Base Rate per Case No. 99-070):</v>
          </cell>
        </row>
        <row r="13">
          <cell r="A13">
            <v>5</v>
          </cell>
          <cell r="D13" t="str">
            <v xml:space="preserve">  First</v>
          </cell>
          <cell r="E13">
            <v>300</v>
          </cell>
          <cell r="F13" t="str">
            <v>Mcf</v>
          </cell>
          <cell r="H13">
            <v>1.19</v>
          </cell>
          <cell r="J13">
            <v>1.19</v>
          </cell>
          <cell r="L13">
            <v>0</v>
          </cell>
        </row>
        <row r="14">
          <cell r="A14">
            <v>6</v>
          </cell>
          <cell r="D14" t="str">
            <v xml:space="preserve">  Next</v>
          </cell>
          <cell r="E14">
            <v>14700</v>
          </cell>
          <cell r="F14" t="str">
            <v>Mcf</v>
          </cell>
          <cell r="H14">
            <v>0.65900000000000003</v>
          </cell>
          <cell r="J14">
            <v>0.65900000000000003</v>
          </cell>
          <cell r="L14">
            <v>0</v>
          </cell>
        </row>
        <row r="15">
          <cell r="A15">
            <v>7</v>
          </cell>
          <cell r="D15" t="str">
            <v xml:space="preserve">  Over</v>
          </cell>
          <cell r="E15">
            <v>15000</v>
          </cell>
          <cell r="F15" t="str">
            <v>Mcf</v>
          </cell>
          <cell r="H15">
            <v>0.43</v>
          </cell>
          <cell r="J15">
            <v>0.43</v>
          </cell>
          <cell r="L15">
            <v>0</v>
          </cell>
        </row>
        <row r="16">
          <cell r="A16">
            <v>8</v>
          </cell>
        </row>
        <row r="17">
          <cell r="A17">
            <v>9</v>
          </cell>
          <cell r="D17" t="str">
            <v>Non-Commodity Components:</v>
          </cell>
        </row>
        <row r="18">
          <cell r="A18">
            <v>11</v>
          </cell>
          <cell r="D18" t="str">
            <v xml:space="preserve">  Take-Or-Pay</v>
          </cell>
          <cell r="H18">
            <v>0</v>
          </cell>
          <cell r="J18">
            <v>0</v>
          </cell>
          <cell r="L18">
            <v>0</v>
          </cell>
        </row>
        <row r="19">
          <cell r="A19">
            <v>13</v>
          </cell>
          <cell r="D19" t="str">
            <v xml:space="preserve">  RF (Refund Adjustment)</v>
          </cell>
          <cell r="H19">
            <v>0</v>
          </cell>
          <cell r="J19">
            <v>0</v>
          </cell>
          <cell r="L19">
            <v>0</v>
          </cell>
        </row>
        <row r="20">
          <cell r="A20">
            <v>14</v>
          </cell>
          <cell r="D20" t="str">
            <v xml:space="preserve">  Total</v>
          </cell>
          <cell r="H20">
            <v>0</v>
          </cell>
          <cell r="J20">
            <v>0</v>
          </cell>
          <cell r="L20">
            <v>0</v>
          </cell>
        </row>
        <row r="21">
          <cell r="A21">
            <v>15</v>
          </cell>
        </row>
        <row r="22">
          <cell r="A22">
            <v>16</v>
          </cell>
          <cell r="D22" t="str">
            <v>Gross Margin:</v>
          </cell>
        </row>
        <row r="23">
          <cell r="A23">
            <v>17</v>
          </cell>
          <cell r="D23" t="str">
            <v xml:space="preserve">  First</v>
          </cell>
          <cell r="E23">
            <v>300</v>
          </cell>
          <cell r="F23" t="str">
            <v>Mcf</v>
          </cell>
          <cell r="H23">
            <v>1.19</v>
          </cell>
          <cell r="J23">
            <v>1.19</v>
          </cell>
          <cell r="L23">
            <v>0</v>
          </cell>
        </row>
        <row r="24">
          <cell r="A24">
            <v>18</v>
          </cell>
          <cell r="D24" t="str">
            <v xml:space="preserve">  Next</v>
          </cell>
          <cell r="E24">
            <v>14700</v>
          </cell>
          <cell r="F24" t="str">
            <v>Mcf</v>
          </cell>
          <cell r="H24">
            <v>0.65900000000000003</v>
          </cell>
          <cell r="J24">
            <v>0.65900000000000003</v>
          </cell>
          <cell r="L24">
            <v>0</v>
          </cell>
        </row>
        <row r="25">
          <cell r="A25">
            <v>19</v>
          </cell>
          <cell r="D25" t="str">
            <v xml:space="preserve">  Over</v>
          </cell>
          <cell r="E25">
            <v>15000</v>
          </cell>
          <cell r="F25" t="str">
            <v>Mcf</v>
          </cell>
          <cell r="H25">
            <v>0.43</v>
          </cell>
          <cell r="J25">
            <v>0.43</v>
          </cell>
          <cell r="L25">
            <v>0</v>
          </cell>
        </row>
        <row r="26">
          <cell r="A26">
            <v>20</v>
          </cell>
        </row>
      </sheetData>
      <sheetData sheetId="87">
        <row r="1">
          <cell r="A1" t="str">
            <v xml:space="preserve"> </v>
          </cell>
          <cell r="L1" t="str">
            <v>Exhibit A</v>
          </cell>
        </row>
        <row r="2">
          <cell r="A2" t="str">
            <v xml:space="preserve">Comparison of Current and Previous Cases </v>
          </cell>
          <cell r="L2" t="str">
            <v>Page 5 of 5</v>
          </cell>
        </row>
        <row r="3">
          <cell r="A3" t="str">
            <v>Interruptible Transportation and Carriage Service</v>
          </cell>
        </row>
        <row r="6">
          <cell r="A6" t="str">
            <v>Line</v>
          </cell>
          <cell r="H6" t="str">
            <v>Case No.</v>
          </cell>
        </row>
        <row r="7">
          <cell r="A7" t="str">
            <v>No.</v>
          </cell>
          <cell r="C7" t="str">
            <v>Description</v>
          </cell>
          <cell r="H7" t="str">
            <v>2006-00428</v>
          </cell>
          <cell r="J7" t="str">
            <v>2006-00000</v>
          </cell>
          <cell r="L7" t="str">
            <v>Difference</v>
          </cell>
        </row>
        <row r="8">
          <cell r="H8" t="str">
            <v>$/Mcf</v>
          </cell>
          <cell r="J8" t="str">
            <v>$/Mcf</v>
          </cell>
          <cell r="L8" t="str">
            <v>$/Mcf</v>
          </cell>
        </row>
        <row r="9">
          <cell r="A9">
            <v>1</v>
          </cell>
          <cell r="C9" t="str">
            <v>General Transporation (T-2)</v>
          </cell>
        </row>
        <row r="10">
          <cell r="A10">
            <v>2</v>
          </cell>
        </row>
        <row r="11">
          <cell r="A11">
            <v>3</v>
          </cell>
          <cell r="C11" t="str">
            <v>Interruptible Service (G-2)</v>
          </cell>
        </row>
        <row r="12">
          <cell r="A12">
            <v>4</v>
          </cell>
          <cell r="D12" t="str">
            <v>Simple Margin (Base Rate per Case No. 99-070):</v>
          </cell>
        </row>
        <row r="13">
          <cell r="A13">
            <v>5</v>
          </cell>
          <cell r="D13" t="str">
            <v xml:space="preserve">  First</v>
          </cell>
          <cell r="E13">
            <v>15000</v>
          </cell>
          <cell r="F13" t="str">
            <v>Mcf</v>
          </cell>
          <cell r="H13">
            <v>0.53</v>
          </cell>
          <cell r="J13">
            <v>0.53</v>
          </cell>
          <cell r="L13">
            <v>0</v>
          </cell>
        </row>
        <row r="14">
          <cell r="A14">
            <v>6</v>
          </cell>
          <cell r="D14" t="str">
            <v xml:space="preserve">  Over</v>
          </cell>
          <cell r="E14">
            <v>15000</v>
          </cell>
          <cell r="F14" t="str">
            <v>Mcf</v>
          </cell>
          <cell r="H14">
            <v>0.35909999999999997</v>
          </cell>
          <cell r="J14">
            <v>0.35909999999999997</v>
          </cell>
          <cell r="L14">
            <v>0</v>
          </cell>
        </row>
        <row r="15">
          <cell r="A15">
            <v>7</v>
          </cell>
        </row>
        <row r="16">
          <cell r="A16">
            <v>8</v>
          </cell>
          <cell r="D16" t="str">
            <v>Non-Commodity Components:</v>
          </cell>
        </row>
        <row r="17">
          <cell r="A17">
            <v>9</v>
          </cell>
          <cell r="D17" t="str">
            <v xml:space="preserve">  Demand</v>
          </cell>
          <cell r="H17">
            <v>0.18390000000000001</v>
          </cell>
          <cell r="J17">
            <v>0.18390000000000001</v>
          </cell>
          <cell r="L17">
            <v>0</v>
          </cell>
        </row>
        <row r="18">
          <cell r="A18">
            <v>10</v>
          </cell>
          <cell r="D18" t="str">
            <v xml:space="preserve">  Take-Or-Pay</v>
          </cell>
          <cell r="H18">
            <v>0</v>
          </cell>
          <cell r="J18">
            <v>0</v>
          </cell>
          <cell r="L18">
            <v>0</v>
          </cell>
        </row>
        <row r="19">
          <cell r="A19">
            <v>11</v>
          </cell>
          <cell r="D19" t="str">
            <v xml:space="preserve">  Transition Costs</v>
          </cell>
          <cell r="H19">
            <v>0</v>
          </cell>
          <cell r="J19">
            <v>0</v>
          </cell>
          <cell r="L19">
            <v>0</v>
          </cell>
        </row>
        <row r="20">
          <cell r="A20">
            <v>12</v>
          </cell>
          <cell r="D20" t="str">
            <v xml:space="preserve">  RF (Refund Adjustment)</v>
          </cell>
          <cell r="H20">
            <v>0</v>
          </cell>
          <cell r="J20">
            <v>0</v>
          </cell>
          <cell r="L20">
            <v>0</v>
          </cell>
        </row>
        <row r="21">
          <cell r="A21">
            <v>13</v>
          </cell>
          <cell r="D21" t="str">
            <v xml:space="preserve">  Total</v>
          </cell>
          <cell r="H21">
            <v>0.18390000000000001</v>
          </cell>
          <cell r="J21">
            <v>0.18390000000000001</v>
          </cell>
          <cell r="L21">
            <v>0</v>
          </cell>
        </row>
        <row r="22">
          <cell r="A22">
            <v>14</v>
          </cell>
        </row>
        <row r="23">
          <cell r="A23">
            <v>15</v>
          </cell>
          <cell r="D23" t="str">
            <v>Gross Margin:</v>
          </cell>
        </row>
        <row r="24">
          <cell r="A24">
            <v>16</v>
          </cell>
          <cell r="D24" t="str">
            <v xml:space="preserve">  First</v>
          </cell>
          <cell r="E24">
            <v>15000</v>
          </cell>
          <cell r="F24" t="str">
            <v>Mcf</v>
          </cell>
          <cell r="H24">
            <v>0.71389999999999998</v>
          </cell>
          <cell r="J24">
            <v>0.71389999999999998</v>
          </cell>
          <cell r="L24">
            <v>0</v>
          </cell>
        </row>
        <row r="25">
          <cell r="A25">
            <v>17</v>
          </cell>
          <cell r="D25" t="str">
            <v xml:space="preserve">  Over</v>
          </cell>
          <cell r="E25">
            <v>15000</v>
          </cell>
          <cell r="F25" t="str">
            <v>Mcf</v>
          </cell>
          <cell r="H25">
            <v>0.54299999999999993</v>
          </cell>
          <cell r="J25">
            <v>0.54299999999999993</v>
          </cell>
          <cell r="L25">
            <v>0</v>
          </cell>
        </row>
        <row r="26">
          <cell r="A26">
            <v>18</v>
          </cell>
        </row>
        <row r="27">
          <cell r="A27">
            <v>19</v>
          </cell>
          <cell r="C27" t="str">
            <v>Carriage Service</v>
          </cell>
        </row>
        <row r="28">
          <cell r="A28">
            <v>20</v>
          </cell>
        </row>
        <row r="29">
          <cell r="A29">
            <v>21</v>
          </cell>
          <cell r="C29" t="str">
            <v>Carriage Service (T-3)</v>
          </cell>
        </row>
        <row r="30">
          <cell r="A30">
            <v>22</v>
          </cell>
          <cell r="D30" t="str">
            <v>Simple Margin (Base Rate per Case No. 99-070):</v>
          </cell>
        </row>
        <row r="31">
          <cell r="A31">
            <v>23</v>
          </cell>
          <cell r="D31" t="str">
            <v xml:space="preserve">  First</v>
          </cell>
          <cell r="E31">
            <v>15000</v>
          </cell>
          <cell r="F31" t="str">
            <v>Mcf</v>
          </cell>
          <cell r="H31">
            <v>0.53</v>
          </cell>
          <cell r="J31">
            <v>0.53</v>
          </cell>
          <cell r="L31">
            <v>0</v>
          </cell>
        </row>
        <row r="32">
          <cell r="A32">
            <v>24</v>
          </cell>
          <cell r="D32" t="str">
            <v xml:space="preserve">  Over</v>
          </cell>
          <cell r="E32">
            <v>15000</v>
          </cell>
          <cell r="F32" t="str">
            <v>Mcf</v>
          </cell>
          <cell r="H32">
            <v>0.35909999999999997</v>
          </cell>
          <cell r="J32">
            <v>0.35909999999999997</v>
          </cell>
          <cell r="L32">
            <v>0</v>
          </cell>
        </row>
        <row r="33">
          <cell r="A33">
            <v>25</v>
          </cell>
        </row>
        <row r="34">
          <cell r="A34">
            <v>26</v>
          </cell>
          <cell r="D34" t="str">
            <v>Non-Commodity Components:</v>
          </cell>
        </row>
        <row r="35">
          <cell r="A35">
            <v>28</v>
          </cell>
          <cell r="D35" t="str">
            <v xml:space="preserve">  Take-Or-Pay</v>
          </cell>
          <cell r="H35">
            <v>0</v>
          </cell>
          <cell r="J35">
            <v>0</v>
          </cell>
          <cell r="L35">
            <v>0</v>
          </cell>
        </row>
        <row r="36">
          <cell r="A36">
            <v>30</v>
          </cell>
          <cell r="D36" t="str">
            <v xml:space="preserve">  RF (Refund Adjustment)</v>
          </cell>
          <cell r="H36">
            <v>0</v>
          </cell>
          <cell r="J36">
            <v>0</v>
          </cell>
          <cell r="L36">
            <v>0</v>
          </cell>
        </row>
        <row r="37">
          <cell r="A37">
            <v>31</v>
          </cell>
          <cell r="D37" t="str">
            <v xml:space="preserve">  Total</v>
          </cell>
          <cell r="H37">
            <v>0</v>
          </cell>
          <cell r="J37">
            <v>0</v>
          </cell>
          <cell r="L37">
            <v>0</v>
          </cell>
        </row>
        <row r="38">
          <cell r="A38">
            <v>32</v>
          </cell>
        </row>
        <row r="39">
          <cell r="A39">
            <v>33</v>
          </cell>
          <cell r="D39" t="str">
            <v>Gross Margin:</v>
          </cell>
        </row>
        <row r="40">
          <cell r="A40">
            <v>34</v>
          </cell>
          <cell r="D40" t="str">
            <v xml:space="preserve">  First</v>
          </cell>
          <cell r="E40">
            <v>15000</v>
          </cell>
          <cell r="F40" t="str">
            <v>Mcf</v>
          </cell>
          <cell r="H40">
            <v>0.53</v>
          </cell>
          <cell r="J40">
            <v>0.53</v>
          </cell>
          <cell r="L40">
            <v>0</v>
          </cell>
        </row>
        <row r="41">
          <cell r="A41">
            <v>35</v>
          </cell>
          <cell r="D41" t="str">
            <v xml:space="preserve">  Over</v>
          </cell>
          <cell r="E41">
            <v>15000</v>
          </cell>
          <cell r="F41" t="str">
            <v>Mcf</v>
          </cell>
          <cell r="H41">
            <v>0.35909999999999997</v>
          </cell>
          <cell r="J41">
            <v>0.35909999999999997</v>
          </cell>
          <cell r="L41">
            <v>0</v>
          </cell>
        </row>
      </sheetData>
      <sheetData sheetId="88">
        <row r="1">
          <cell r="A1" t="str">
            <v>Atmos Energy Corporation</v>
          </cell>
          <cell r="K1" t="str">
            <v>Exhibit B</v>
          </cell>
        </row>
        <row r="2">
          <cell r="A2" t="str">
            <v>Expected Gas Cost - Non Commodity</v>
          </cell>
          <cell r="K2" t="str">
            <v>Page 1 of  11</v>
          </cell>
        </row>
        <row r="3">
          <cell r="A3" t="str">
            <v>Texas Gas</v>
          </cell>
        </row>
        <row r="5">
          <cell r="E5" t="str">
            <v>(1)</v>
          </cell>
          <cell r="F5" t="str">
            <v>(2)</v>
          </cell>
          <cell r="G5" t="str">
            <v>(3)</v>
          </cell>
          <cell r="I5" t="str">
            <v>(4)</v>
          </cell>
          <cell r="K5" t="str">
            <v>(5)</v>
          </cell>
        </row>
        <row r="6">
          <cell r="G6" t="str">
            <v>Non-Commodity</v>
          </cell>
        </row>
        <row r="7">
          <cell r="A7" t="str">
            <v>Line</v>
          </cell>
          <cell r="D7" t="str">
            <v>Tariff</v>
          </cell>
          <cell r="E7" t="str">
            <v>Annual</v>
          </cell>
          <cell r="K7" t="str">
            <v>Transition</v>
          </cell>
        </row>
        <row r="8">
          <cell r="A8" t="str">
            <v>No.</v>
          </cell>
          <cell r="B8" t="str">
            <v>Description</v>
          </cell>
          <cell r="D8" t="str">
            <v>Sheet No.</v>
          </cell>
          <cell r="E8" t="str">
            <v>Units</v>
          </cell>
          <cell r="F8" t="str">
            <v>Rate</v>
          </cell>
          <cell r="G8" t="str">
            <v>Total</v>
          </cell>
          <cell r="I8" t="str">
            <v>Demand</v>
          </cell>
          <cell r="K8" t="str">
            <v>Costs</v>
          </cell>
        </row>
        <row r="9">
          <cell r="E9" t="str">
            <v>MMbtu</v>
          </cell>
          <cell r="F9" t="str">
            <v>$/MMbtu</v>
          </cell>
          <cell r="G9" t="str">
            <v>$</v>
          </cell>
          <cell r="I9" t="str">
            <v>$</v>
          </cell>
          <cell r="K9" t="str">
            <v>$</v>
          </cell>
        </row>
        <row r="10">
          <cell r="A10">
            <v>1</v>
          </cell>
          <cell r="B10" t="str">
            <v>SL to Zone 2</v>
          </cell>
        </row>
        <row r="11">
          <cell r="A11">
            <v>2</v>
          </cell>
          <cell r="B11" t="str">
            <v xml:space="preserve">  NNS Contract #</v>
          </cell>
          <cell r="C11" t="str">
            <v>N0210</v>
          </cell>
          <cell r="E11">
            <v>12617673</v>
          </cell>
        </row>
        <row r="12">
          <cell r="A12">
            <v>3</v>
          </cell>
          <cell r="B12" t="str">
            <v xml:space="preserve">   Base Rate </v>
          </cell>
          <cell r="D12">
            <v>20</v>
          </cell>
          <cell r="F12">
            <v>0.30880000000000002</v>
          </cell>
          <cell r="G12">
            <v>3896336</v>
          </cell>
          <cell r="I12">
            <v>3896336</v>
          </cell>
        </row>
        <row r="13">
          <cell r="A13">
            <v>4</v>
          </cell>
          <cell r="B13" t="str">
            <v xml:space="preserve">   GSR </v>
          </cell>
          <cell r="D13">
            <v>20</v>
          </cell>
          <cell r="F13">
            <v>0</v>
          </cell>
          <cell r="G13">
            <v>0</v>
          </cell>
          <cell r="K13">
            <v>0</v>
          </cell>
        </row>
        <row r="14">
          <cell r="A14">
            <v>5</v>
          </cell>
          <cell r="B14" t="str">
            <v xml:space="preserve">   TCA Adjustment</v>
          </cell>
          <cell r="D14">
            <v>20</v>
          </cell>
          <cell r="F14">
            <v>0</v>
          </cell>
          <cell r="G14">
            <v>0</v>
          </cell>
          <cell r="I14">
            <v>0</v>
          </cell>
        </row>
        <row r="15">
          <cell r="A15">
            <v>6</v>
          </cell>
          <cell r="B15" t="str">
            <v xml:space="preserve">   Unrec TCA Surch</v>
          </cell>
          <cell r="D15">
            <v>20</v>
          </cell>
          <cell r="F15">
            <v>0</v>
          </cell>
          <cell r="G15">
            <v>0</v>
          </cell>
          <cell r="I15">
            <v>0</v>
          </cell>
        </row>
        <row r="16">
          <cell r="A16">
            <v>7</v>
          </cell>
          <cell r="B16" t="str">
            <v xml:space="preserve">   ISS Credit</v>
          </cell>
          <cell r="D16">
            <v>20</v>
          </cell>
          <cell r="F16">
            <v>0</v>
          </cell>
          <cell r="G16">
            <v>0</v>
          </cell>
          <cell r="I16">
            <v>0</v>
          </cell>
        </row>
        <row r="17">
          <cell r="A17">
            <v>8</v>
          </cell>
          <cell r="B17" t="str">
            <v xml:space="preserve">   Misc Rev Cr Adj</v>
          </cell>
          <cell r="D17">
            <v>20</v>
          </cell>
          <cell r="F17">
            <v>0</v>
          </cell>
          <cell r="G17">
            <v>0</v>
          </cell>
          <cell r="I17">
            <v>0</v>
          </cell>
        </row>
        <row r="18">
          <cell r="A18">
            <v>9</v>
          </cell>
          <cell r="B18" t="str">
            <v xml:space="preserve">   GRI </v>
          </cell>
          <cell r="D18">
            <v>20</v>
          </cell>
          <cell r="F18">
            <v>0</v>
          </cell>
          <cell r="G18">
            <v>0</v>
          </cell>
          <cell r="I18">
            <v>0</v>
          </cell>
        </row>
        <row r="19">
          <cell r="A19">
            <v>6</v>
          </cell>
        </row>
        <row r="20">
          <cell r="A20">
            <v>7</v>
          </cell>
          <cell r="B20" t="str">
            <v>Total SL to Zone 2</v>
          </cell>
          <cell r="E20">
            <v>12617673</v>
          </cell>
          <cell r="G20">
            <v>3896336</v>
          </cell>
          <cell r="I20">
            <v>3896336</v>
          </cell>
          <cell r="K20">
            <v>0</v>
          </cell>
        </row>
        <row r="21">
          <cell r="A21">
            <v>8</v>
          </cell>
        </row>
        <row r="22">
          <cell r="A22">
            <v>9</v>
          </cell>
          <cell r="B22" t="str">
            <v>SL to Zone 3</v>
          </cell>
        </row>
        <row r="23">
          <cell r="A23">
            <v>10</v>
          </cell>
          <cell r="B23" t="str">
            <v xml:space="preserve">  NNS Contract #</v>
          </cell>
          <cell r="C23" t="str">
            <v>N0340</v>
          </cell>
          <cell r="E23">
            <v>27480375</v>
          </cell>
        </row>
        <row r="24">
          <cell r="A24">
            <v>11</v>
          </cell>
          <cell r="B24" t="str">
            <v xml:space="preserve">   Base Rate</v>
          </cell>
          <cell r="D24">
            <v>20</v>
          </cell>
          <cell r="F24">
            <v>0.3543</v>
          </cell>
          <cell r="G24">
            <v>9736297</v>
          </cell>
          <cell r="I24">
            <v>9736297</v>
          </cell>
        </row>
        <row r="25">
          <cell r="A25">
            <v>12</v>
          </cell>
          <cell r="B25" t="str">
            <v xml:space="preserve">   GSR</v>
          </cell>
          <cell r="D25">
            <v>20</v>
          </cell>
          <cell r="F25">
            <v>0</v>
          </cell>
          <cell r="G25">
            <v>0</v>
          </cell>
          <cell r="K25">
            <v>0</v>
          </cell>
        </row>
        <row r="26">
          <cell r="A26">
            <v>13</v>
          </cell>
          <cell r="B26" t="str">
            <v xml:space="preserve">   TCA Adjustment</v>
          </cell>
          <cell r="D26">
            <v>20</v>
          </cell>
          <cell r="F26">
            <v>0</v>
          </cell>
          <cell r="G26">
            <v>0</v>
          </cell>
          <cell r="I26">
            <v>0</v>
          </cell>
        </row>
        <row r="27">
          <cell r="A27">
            <v>14</v>
          </cell>
          <cell r="B27" t="str">
            <v xml:space="preserve">   Unrec TCA Surch</v>
          </cell>
          <cell r="D27">
            <v>20</v>
          </cell>
          <cell r="F27">
            <v>0</v>
          </cell>
          <cell r="G27">
            <v>0</v>
          </cell>
          <cell r="I27">
            <v>0</v>
          </cell>
        </row>
        <row r="28">
          <cell r="A28">
            <v>15</v>
          </cell>
          <cell r="B28" t="str">
            <v xml:space="preserve">   ISS Credit</v>
          </cell>
          <cell r="D28">
            <v>20</v>
          </cell>
          <cell r="F28">
            <v>0</v>
          </cell>
          <cell r="G28">
            <v>0</v>
          </cell>
          <cell r="I28">
            <v>0</v>
          </cell>
        </row>
        <row r="29">
          <cell r="A29">
            <v>16</v>
          </cell>
          <cell r="B29" t="str">
            <v xml:space="preserve">   Misc Rev Cr Adj</v>
          </cell>
          <cell r="D29">
            <v>20</v>
          </cell>
          <cell r="F29">
            <v>0</v>
          </cell>
          <cell r="G29">
            <v>0</v>
          </cell>
          <cell r="I29">
            <v>0</v>
          </cell>
        </row>
        <row r="30">
          <cell r="A30">
            <v>17</v>
          </cell>
          <cell r="B30" t="str">
            <v xml:space="preserve">   GRI</v>
          </cell>
          <cell r="D30">
            <v>20</v>
          </cell>
          <cell r="F30">
            <v>0</v>
          </cell>
          <cell r="G30">
            <v>0</v>
          </cell>
          <cell r="I30">
            <v>0</v>
          </cell>
        </row>
        <row r="31">
          <cell r="A31">
            <v>18</v>
          </cell>
        </row>
        <row r="32">
          <cell r="A32">
            <v>19</v>
          </cell>
          <cell r="B32" t="str">
            <v xml:space="preserve">  FT Contract #</v>
          </cell>
          <cell r="C32" t="str">
            <v>3355</v>
          </cell>
          <cell r="E32">
            <v>3130605</v>
          </cell>
        </row>
        <row r="33">
          <cell r="A33">
            <v>20</v>
          </cell>
          <cell r="B33" t="str">
            <v xml:space="preserve">   Base Rate</v>
          </cell>
          <cell r="C33" t="str">
            <v>(Capacity Released)</v>
          </cell>
          <cell r="D33">
            <v>24</v>
          </cell>
          <cell r="F33">
            <v>0.24940000000000001</v>
          </cell>
          <cell r="G33">
            <v>780773</v>
          </cell>
          <cell r="I33">
            <v>780773</v>
          </cell>
        </row>
        <row r="34">
          <cell r="A34">
            <v>21</v>
          </cell>
          <cell r="B34" t="str">
            <v xml:space="preserve">   GSR</v>
          </cell>
          <cell r="D34">
            <v>24</v>
          </cell>
          <cell r="F34">
            <v>0</v>
          </cell>
          <cell r="G34">
            <v>0</v>
          </cell>
          <cell r="K34">
            <v>0</v>
          </cell>
        </row>
        <row r="35">
          <cell r="A35">
            <v>22</v>
          </cell>
          <cell r="B35" t="str">
            <v xml:space="preserve">   TCA Adjustment</v>
          </cell>
          <cell r="D35">
            <v>24</v>
          </cell>
          <cell r="F35">
            <v>0</v>
          </cell>
          <cell r="G35">
            <v>0</v>
          </cell>
          <cell r="I35">
            <v>0</v>
          </cell>
        </row>
        <row r="36">
          <cell r="A36">
            <v>23</v>
          </cell>
          <cell r="B36" t="str">
            <v xml:space="preserve">   Unrec TCA Surch</v>
          </cell>
          <cell r="D36">
            <v>24</v>
          </cell>
          <cell r="F36">
            <v>0</v>
          </cell>
          <cell r="G36">
            <v>0</v>
          </cell>
          <cell r="I36">
            <v>0</v>
          </cell>
        </row>
        <row r="37">
          <cell r="A37">
            <v>24</v>
          </cell>
          <cell r="B37" t="str">
            <v xml:space="preserve">   ISS Credit</v>
          </cell>
          <cell r="D37">
            <v>24</v>
          </cell>
          <cell r="F37">
            <v>0</v>
          </cell>
          <cell r="G37">
            <v>0</v>
          </cell>
          <cell r="I37">
            <v>0</v>
          </cell>
        </row>
        <row r="38">
          <cell r="A38">
            <v>25</v>
          </cell>
          <cell r="B38" t="str">
            <v xml:space="preserve">   Misc Rev Cr Adj</v>
          </cell>
          <cell r="D38">
            <v>24</v>
          </cell>
          <cell r="F38">
            <v>0</v>
          </cell>
          <cell r="G38">
            <v>0</v>
          </cell>
          <cell r="I38">
            <v>0</v>
          </cell>
        </row>
        <row r="39">
          <cell r="A39">
            <v>26</v>
          </cell>
          <cell r="B39" t="str">
            <v xml:space="preserve">   GRI</v>
          </cell>
          <cell r="D39">
            <v>24</v>
          </cell>
          <cell r="F39">
            <v>0</v>
          </cell>
          <cell r="G39">
            <v>0</v>
          </cell>
          <cell r="I39">
            <v>0</v>
          </cell>
        </row>
        <row r="40">
          <cell r="A40">
            <v>27</v>
          </cell>
        </row>
        <row r="41">
          <cell r="A41">
            <v>28</v>
          </cell>
        </row>
        <row r="42">
          <cell r="A42">
            <v>29</v>
          </cell>
          <cell r="B42" t="str">
            <v>Total SL to Zone 3</v>
          </cell>
          <cell r="E42">
            <v>30610980</v>
          </cell>
          <cell r="G42">
            <v>10517070</v>
          </cell>
          <cell r="I42">
            <v>10517070</v>
          </cell>
          <cell r="K42">
            <v>0</v>
          </cell>
        </row>
        <row r="43">
          <cell r="A43">
            <v>30</v>
          </cell>
        </row>
        <row r="44">
          <cell r="A44">
            <v>31</v>
          </cell>
        </row>
        <row r="45">
          <cell r="A45">
            <v>32</v>
          </cell>
        </row>
        <row r="46">
          <cell r="A46">
            <v>33</v>
          </cell>
        </row>
        <row r="47">
          <cell r="A47">
            <v>34</v>
          </cell>
        </row>
        <row r="48">
          <cell r="A48">
            <v>35</v>
          </cell>
        </row>
        <row r="49">
          <cell r="A49">
            <v>36</v>
          </cell>
        </row>
        <row r="50">
          <cell r="A50">
            <v>37</v>
          </cell>
        </row>
        <row r="51">
          <cell r="A51">
            <v>38</v>
          </cell>
        </row>
        <row r="52">
          <cell r="A52">
            <v>39</v>
          </cell>
        </row>
        <row r="53">
          <cell r="A53">
            <v>40</v>
          </cell>
        </row>
      </sheetData>
      <sheetData sheetId="89"/>
      <sheetData sheetId="90">
        <row r="1">
          <cell r="A1" t="str">
            <v>Atmos Energy Corporation</v>
          </cell>
          <cell r="K1" t="str">
            <v>Exhibit B</v>
          </cell>
        </row>
        <row r="2">
          <cell r="A2" t="str">
            <v>Expected Gas Cost - Non Commodity</v>
          </cell>
          <cell r="K2" t="str">
            <v>Page 3 of 11</v>
          </cell>
        </row>
        <row r="3">
          <cell r="A3" t="str">
            <v>Tennessee Gas</v>
          </cell>
        </row>
        <row r="5">
          <cell r="E5" t="str">
            <v>(1)</v>
          </cell>
          <cell r="F5" t="str">
            <v>(2)</v>
          </cell>
          <cell r="G5" t="str">
            <v>(3)</v>
          </cell>
          <cell r="I5" t="str">
            <v>(4)</v>
          </cell>
          <cell r="K5" t="str">
            <v>(5)</v>
          </cell>
        </row>
        <row r="6">
          <cell r="G6" t="str">
            <v>Non-Commodity</v>
          </cell>
        </row>
        <row r="7">
          <cell r="A7" t="str">
            <v>Line</v>
          </cell>
          <cell r="D7" t="str">
            <v>Tariff</v>
          </cell>
          <cell r="E7" t="str">
            <v>Annual</v>
          </cell>
          <cell r="K7" t="str">
            <v>Transition</v>
          </cell>
        </row>
        <row r="8">
          <cell r="A8" t="str">
            <v>No.</v>
          </cell>
          <cell r="B8" t="str">
            <v>Description</v>
          </cell>
          <cell r="D8" t="str">
            <v>Sheet No.</v>
          </cell>
          <cell r="E8" t="str">
            <v>Units</v>
          </cell>
          <cell r="F8" t="str">
            <v>Rate</v>
          </cell>
          <cell r="G8" t="str">
            <v>Total</v>
          </cell>
          <cell r="I8" t="str">
            <v>Demand</v>
          </cell>
          <cell r="K8" t="str">
            <v>Costs</v>
          </cell>
        </row>
        <row r="9">
          <cell r="E9" t="str">
            <v>MMbtu</v>
          </cell>
          <cell r="F9" t="str">
            <v>$/MMbtu</v>
          </cell>
          <cell r="G9" t="str">
            <v>$</v>
          </cell>
          <cell r="I9" t="str">
            <v>$</v>
          </cell>
          <cell r="K9" t="str">
            <v>$</v>
          </cell>
        </row>
        <row r="11">
          <cell r="A11">
            <v>1</v>
          </cell>
          <cell r="B11" t="str">
            <v>0 to Zone 2</v>
          </cell>
        </row>
        <row r="12">
          <cell r="A12">
            <v>2</v>
          </cell>
          <cell r="B12" t="str">
            <v xml:space="preserve">  FT-G  Contract #</v>
          </cell>
          <cell r="C12" t="str">
            <v>2546.1</v>
          </cell>
          <cell r="E12">
            <v>12844</v>
          </cell>
          <cell r="F12">
            <v>9.06</v>
          </cell>
        </row>
        <row r="13">
          <cell r="A13">
            <v>3</v>
          </cell>
          <cell r="B13" t="str">
            <v xml:space="preserve">   Base Rate</v>
          </cell>
          <cell r="D13" t="str">
            <v>23B</v>
          </cell>
          <cell r="F13">
            <v>9.06</v>
          </cell>
          <cell r="G13">
            <v>116367</v>
          </cell>
          <cell r="I13">
            <v>116367</v>
          </cell>
        </row>
        <row r="14">
          <cell r="A14">
            <v>4</v>
          </cell>
          <cell r="B14" t="str">
            <v xml:space="preserve">   Settlement Surcharge</v>
          </cell>
          <cell r="D14" t="str">
            <v>23B</v>
          </cell>
          <cell r="F14">
            <v>0</v>
          </cell>
          <cell r="G14">
            <v>0</v>
          </cell>
          <cell r="K14">
            <v>0</v>
          </cell>
        </row>
        <row r="15">
          <cell r="A15">
            <v>5</v>
          </cell>
          <cell r="B15" t="str">
            <v xml:space="preserve">   PCB Adjustment</v>
          </cell>
          <cell r="D15" t="str">
            <v>23B</v>
          </cell>
          <cell r="F15">
            <v>0</v>
          </cell>
          <cell r="G15">
            <v>0</v>
          </cell>
          <cell r="K15">
            <v>0</v>
          </cell>
        </row>
        <row r="16">
          <cell r="A16">
            <v>6</v>
          </cell>
        </row>
        <row r="17">
          <cell r="A17">
            <v>7</v>
          </cell>
          <cell r="B17" t="str">
            <v xml:space="preserve">  FT-G  Contract #</v>
          </cell>
          <cell r="C17" t="str">
            <v>2548.1</v>
          </cell>
          <cell r="E17">
            <v>4363</v>
          </cell>
          <cell r="F17">
            <v>9.06</v>
          </cell>
        </row>
        <row r="18">
          <cell r="A18">
            <v>8</v>
          </cell>
          <cell r="B18" t="str">
            <v xml:space="preserve">   Base Rate</v>
          </cell>
          <cell r="D18" t="str">
            <v>23B</v>
          </cell>
          <cell r="F18">
            <v>9.06</v>
          </cell>
          <cell r="G18">
            <v>39529</v>
          </cell>
          <cell r="I18">
            <v>39529</v>
          </cell>
        </row>
        <row r="19">
          <cell r="A19">
            <v>9</v>
          </cell>
          <cell r="B19" t="str">
            <v xml:space="preserve">   Settlement Surcharge</v>
          </cell>
          <cell r="D19" t="str">
            <v>23B</v>
          </cell>
          <cell r="F19">
            <v>0</v>
          </cell>
          <cell r="G19">
            <v>0</v>
          </cell>
          <cell r="K19">
            <v>0</v>
          </cell>
        </row>
        <row r="20">
          <cell r="A20">
            <v>10</v>
          </cell>
          <cell r="B20" t="str">
            <v xml:space="preserve">   PCB Adjustment</v>
          </cell>
          <cell r="D20" t="str">
            <v>23B</v>
          </cell>
          <cell r="F20">
            <v>0</v>
          </cell>
          <cell r="G20">
            <v>0</v>
          </cell>
          <cell r="K20">
            <v>0</v>
          </cell>
        </row>
        <row r="21">
          <cell r="A21">
            <v>11</v>
          </cell>
        </row>
        <row r="22">
          <cell r="A22">
            <v>12</v>
          </cell>
          <cell r="B22" t="str">
            <v xml:space="preserve">  FT-G  Contract #</v>
          </cell>
          <cell r="C22" t="str">
            <v>2550.1</v>
          </cell>
          <cell r="E22">
            <v>5739</v>
          </cell>
          <cell r="F22">
            <v>9.06</v>
          </cell>
        </row>
        <row r="23">
          <cell r="A23">
            <v>13</v>
          </cell>
          <cell r="B23" t="str">
            <v xml:space="preserve">   Base Rate</v>
          </cell>
          <cell r="D23" t="str">
            <v>23B</v>
          </cell>
          <cell r="F23">
            <v>9.06</v>
          </cell>
          <cell r="G23">
            <v>51995</v>
          </cell>
          <cell r="I23">
            <v>51995</v>
          </cell>
        </row>
        <row r="24">
          <cell r="A24">
            <v>14</v>
          </cell>
          <cell r="B24" t="str">
            <v xml:space="preserve">   Settlement Surcharge</v>
          </cell>
          <cell r="D24" t="str">
            <v>23B</v>
          </cell>
          <cell r="F24">
            <v>0</v>
          </cell>
          <cell r="G24">
            <v>0</v>
          </cell>
          <cell r="K24">
            <v>0</v>
          </cell>
        </row>
        <row r="25">
          <cell r="A25">
            <v>15</v>
          </cell>
          <cell r="B25" t="str">
            <v xml:space="preserve">   PCB Adjustment</v>
          </cell>
          <cell r="D25" t="str">
            <v>23B</v>
          </cell>
          <cell r="F25">
            <v>0</v>
          </cell>
          <cell r="G25">
            <v>0</v>
          </cell>
          <cell r="K25">
            <v>0</v>
          </cell>
        </row>
        <row r="26">
          <cell r="A26">
            <v>16</v>
          </cell>
        </row>
        <row r="27">
          <cell r="A27">
            <v>17</v>
          </cell>
          <cell r="B27" t="str">
            <v xml:space="preserve">  FT-G  Contract #</v>
          </cell>
          <cell r="C27" t="str">
            <v>2551.1</v>
          </cell>
          <cell r="E27">
            <v>4447</v>
          </cell>
          <cell r="F27">
            <v>9.06</v>
          </cell>
        </row>
        <row r="28">
          <cell r="A28">
            <v>18</v>
          </cell>
          <cell r="B28" t="str">
            <v xml:space="preserve">   Base Rate</v>
          </cell>
          <cell r="D28" t="str">
            <v>23B</v>
          </cell>
          <cell r="F28">
            <v>9.06</v>
          </cell>
          <cell r="G28">
            <v>40290</v>
          </cell>
          <cell r="I28">
            <v>40290</v>
          </cell>
        </row>
        <row r="29">
          <cell r="A29">
            <v>19</v>
          </cell>
          <cell r="B29" t="str">
            <v xml:space="preserve">   Settlement Surcharge</v>
          </cell>
          <cell r="D29" t="str">
            <v>23B</v>
          </cell>
          <cell r="F29">
            <v>0</v>
          </cell>
          <cell r="G29">
            <v>0</v>
          </cell>
          <cell r="K29">
            <v>0</v>
          </cell>
        </row>
        <row r="30">
          <cell r="A30">
            <v>20</v>
          </cell>
          <cell r="B30" t="str">
            <v xml:space="preserve">   PCB Adjustment</v>
          </cell>
          <cell r="D30" t="str">
            <v>23B</v>
          </cell>
          <cell r="F30">
            <v>0</v>
          </cell>
          <cell r="G30">
            <v>0</v>
          </cell>
          <cell r="K30">
            <v>0</v>
          </cell>
        </row>
        <row r="31">
          <cell r="A31">
            <v>21</v>
          </cell>
        </row>
        <row r="32">
          <cell r="A32">
            <v>22</v>
          </cell>
        </row>
        <row r="33">
          <cell r="A33">
            <v>23</v>
          </cell>
          <cell r="B33" t="str">
            <v>Total Zone 0 to 2</v>
          </cell>
          <cell r="E33">
            <v>27393</v>
          </cell>
          <cell r="G33">
            <v>248181</v>
          </cell>
          <cell r="I33">
            <v>248181</v>
          </cell>
          <cell r="K33">
            <v>0</v>
          </cell>
        </row>
        <row r="34">
          <cell r="A34">
            <v>24</v>
          </cell>
        </row>
        <row r="35">
          <cell r="A35">
            <v>25</v>
          </cell>
        </row>
        <row r="36">
          <cell r="A36">
            <v>26</v>
          </cell>
        </row>
        <row r="37">
          <cell r="A37">
            <v>27</v>
          </cell>
        </row>
        <row r="38">
          <cell r="A38">
            <v>28</v>
          </cell>
        </row>
      </sheetData>
      <sheetData sheetId="91">
        <row r="1">
          <cell r="A1" t="str">
            <v>Atmos Energy Corporation</v>
          </cell>
          <cell r="K1" t="str">
            <v>Exhibit B</v>
          </cell>
        </row>
        <row r="2">
          <cell r="A2" t="str">
            <v>Expected Gas Cost - Non Commodity</v>
          </cell>
          <cell r="K2" t="str">
            <v>Page 4 of  11</v>
          </cell>
        </row>
        <row r="3">
          <cell r="A3" t="str">
            <v>Tennessee Gas</v>
          </cell>
        </row>
        <row r="5">
          <cell r="E5" t="str">
            <v>(1)</v>
          </cell>
          <cell r="F5" t="str">
            <v>(2)</v>
          </cell>
          <cell r="G5" t="str">
            <v>(3)</v>
          </cell>
          <cell r="I5" t="str">
            <v>(4)</v>
          </cell>
          <cell r="K5" t="str">
            <v>(5)</v>
          </cell>
        </row>
        <row r="6">
          <cell r="G6" t="str">
            <v>Non-Commodity</v>
          </cell>
        </row>
        <row r="7">
          <cell r="A7" t="str">
            <v>Line</v>
          </cell>
          <cell r="D7" t="str">
            <v>Tariff</v>
          </cell>
          <cell r="E7" t="str">
            <v>Annual</v>
          </cell>
          <cell r="K7" t="str">
            <v>Transition</v>
          </cell>
        </row>
        <row r="8">
          <cell r="A8" t="str">
            <v>No.</v>
          </cell>
          <cell r="B8" t="str">
            <v>Description</v>
          </cell>
          <cell r="D8" t="str">
            <v>Sheet No.</v>
          </cell>
          <cell r="E8" t="str">
            <v>Units</v>
          </cell>
          <cell r="F8" t="str">
            <v>Rate</v>
          </cell>
          <cell r="G8" t="str">
            <v>Total</v>
          </cell>
          <cell r="I8" t="str">
            <v>Demand</v>
          </cell>
          <cell r="K8" t="str">
            <v>Costs</v>
          </cell>
        </row>
        <row r="9">
          <cell r="E9" t="str">
            <v>MMbtu</v>
          </cell>
          <cell r="F9" t="str">
            <v>$/MMbtu</v>
          </cell>
          <cell r="G9" t="str">
            <v>$</v>
          </cell>
          <cell r="I9" t="str">
            <v>$</v>
          </cell>
          <cell r="K9" t="str">
            <v>$</v>
          </cell>
        </row>
        <row r="11">
          <cell r="A11">
            <v>1</v>
          </cell>
          <cell r="B11" t="str">
            <v>1 to Zone 2</v>
          </cell>
        </row>
        <row r="12">
          <cell r="A12">
            <v>2</v>
          </cell>
          <cell r="B12" t="str">
            <v xml:space="preserve">  FT-G  Contract #</v>
          </cell>
          <cell r="C12" t="str">
            <v>2546</v>
          </cell>
          <cell r="E12">
            <v>114156</v>
          </cell>
          <cell r="F12">
            <v>7.62</v>
          </cell>
        </row>
        <row r="13">
          <cell r="A13">
            <v>3</v>
          </cell>
          <cell r="B13" t="str">
            <v xml:space="preserve">   Base Rate</v>
          </cell>
          <cell r="D13" t="str">
            <v>23B</v>
          </cell>
          <cell r="F13">
            <v>7.62</v>
          </cell>
          <cell r="G13">
            <v>869869</v>
          </cell>
          <cell r="I13">
            <v>869869</v>
          </cell>
        </row>
        <row r="14">
          <cell r="A14">
            <v>4</v>
          </cell>
          <cell r="B14" t="str">
            <v xml:space="preserve">   Settlement Surcharge</v>
          </cell>
          <cell r="D14" t="str">
            <v>23B</v>
          </cell>
          <cell r="F14">
            <v>0</v>
          </cell>
          <cell r="G14">
            <v>0</v>
          </cell>
          <cell r="K14">
            <v>0</v>
          </cell>
        </row>
        <row r="15">
          <cell r="A15">
            <v>5</v>
          </cell>
          <cell r="B15" t="str">
            <v xml:space="preserve">   PCB Adjustment</v>
          </cell>
          <cell r="D15" t="str">
            <v>23B</v>
          </cell>
          <cell r="F15">
            <v>0</v>
          </cell>
          <cell r="G15">
            <v>0</v>
          </cell>
          <cell r="K15">
            <v>0</v>
          </cell>
        </row>
        <row r="16">
          <cell r="A16">
            <v>6</v>
          </cell>
        </row>
        <row r="17">
          <cell r="A17">
            <v>7</v>
          </cell>
          <cell r="B17" t="str">
            <v xml:space="preserve">  FT-G  Contract #</v>
          </cell>
          <cell r="C17" t="str">
            <v>2548</v>
          </cell>
          <cell r="E17">
            <v>44997</v>
          </cell>
          <cell r="F17">
            <v>7.62</v>
          </cell>
        </row>
        <row r="18">
          <cell r="A18">
            <v>8</v>
          </cell>
          <cell r="B18" t="str">
            <v xml:space="preserve">   Base Rate</v>
          </cell>
          <cell r="D18" t="str">
            <v>23B</v>
          </cell>
          <cell r="F18">
            <v>7.62</v>
          </cell>
          <cell r="G18">
            <v>342877</v>
          </cell>
          <cell r="I18">
            <v>342877</v>
          </cell>
        </row>
        <row r="19">
          <cell r="A19">
            <v>9</v>
          </cell>
          <cell r="B19" t="str">
            <v xml:space="preserve">   Settlement Surcharge</v>
          </cell>
          <cell r="D19" t="str">
            <v>23B</v>
          </cell>
          <cell r="F19">
            <v>0</v>
          </cell>
          <cell r="G19">
            <v>0</v>
          </cell>
          <cell r="K19">
            <v>0</v>
          </cell>
        </row>
        <row r="20">
          <cell r="A20">
            <v>10</v>
          </cell>
          <cell r="B20" t="str">
            <v xml:space="preserve">   PCB Adjustment</v>
          </cell>
          <cell r="D20" t="str">
            <v>23B</v>
          </cell>
          <cell r="F20">
            <v>0</v>
          </cell>
          <cell r="G20">
            <v>0</v>
          </cell>
          <cell r="K20">
            <v>0</v>
          </cell>
        </row>
        <row r="21">
          <cell r="A21">
            <v>11</v>
          </cell>
        </row>
        <row r="22">
          <cell r="A22">
            <v>12</v>
          </cell>
          <cell r="B22" t="str">
            <v xml:space="preserve">  FT-G  Contract #</v>
          </cell>
          <cell r="C22" t="str">
            <v>2550</v>
          </cell>
          <cell r="E22">
            <v>59741</v>
          </cell>
          <cell r="F22">
            <v>7.62</v>
          </cell>
        </row>
        <row r="23">
          <cell r="A23">
            <v>13</v>
          </cell>
          <cell r="B23" t="str">
            <v xml:space="preserve">   Base Rate</v>
          </cell>
          <cell r="D23" t="str">
            <v>23B</v>
          </cell>
          <cell r="F23">
            <v>7.62</v>
          </cell>
          <cell r="G23">
            <v>455226</v>
          </cell>
          <cell r="I23">
            <v>455226</v>
          </cell>
        </row>
        <row r="24">
          <cell r="A24">
            <v>14</v>
          </cell>
          <cell r="B24" t="str">
            <v xml:space="preserve">   Settlement Surcharge</v>
          </cell>
          <cell r="D24" t="str">
            <v>23B</v>
          </cell>
          <cell r="F24">
            <v>0</v>
          </cell>
          <cell r="G24">
            <v>0</v>
          </cell>
          <cell r="K24">
            <v>0</v>
          </cell>
        </row>
        <row r="25">
          <cell r="A25">
            <v>15</v>
          </cell>
          <cell r="B25" t="str">
            <v xml:space="preserve">   PCB Adjustment</v>
          </cell>
          <cell r="D25" t="str">
            <v>23B</v>
          </cell>
          <cell r="F25">
            <v>0</v>
          </cell>
          <cell r="G25">
            <v>0</v>
          </cell>
          <cell r="K25">
            <v>0</v>
          </cell>
        </row>
        <row r="26">
          <cell r="A26">
            <v>16</v>
          </cell>
        </row>
        <row r="27">
          <cell r="A27">
            <v>17</v>
          </cell>
          <cell r="B27" t="str">
            <v xml:space="preserve">  FT-G  Contract #</v>
          </cell>
          <cell r="C27" t="str">
            <v>2551</v>
          </cell>
          <cell r="E27">
            <v>45058</v>
          </cell>
          <cell r="F27">
            <v>7.62</v>
          </cell>
        </row>
        <row r="28">
          <cell r="A28">
            <v>18</v>
          </cell>
          <cell r="B28" t="str">
            <v xml:space="preserve">   Base Rate</v>
          </cell>
          <cell r="D28" t="str">
            <v>23B</v>
          </cell>
          <cell r="F28">
            <v>7.62</v>
          </cell>
          <cell r="G28">
            <v>343342</v>
          </cell>
          <cell r="I28">
            <v>343342</v>
          </cell>
        </row>
        <row r="29">
          <cell r="A29">
            <v>19</v>
          </cell>
          <cell r="B29" t="str">
            <v xml:space="preserve">   Settlement Surcharge</v>
          </cell>
          <cell r="D29" t="str">
            <v>23B</v>
          </cell>
          <cell r="F29">
            <v>0</v>
          </cell>
          <cell r="G29">
            <v>0</v>
          </cell>
          <cell r="K29">
            <v>0</v>
          </cell>
        </row>
        <row r="30">
          <cell r="A30">
            <v>20</v>
          </cell>
          <cell r="B30" t="str">
            <v xml:space="preserve">   PCB Adjustment</v>
          </cell>
          <cell r="D30" t="str">
            <v>23B</v>
          </cell>
          <cell r="F30">
            <v>0</v>
          </cell>
          <cell r="G30">
            <v>0</v>
          </cell>
          <cell r="K30">
            <v>0</v>
          </cell>
        </row>
        <row r="31">
          <cell r="A31">
            <v>21</v>
          </cell>
        </row>
        <row r="32">
          <cell r="A32">
            <v>22</v>
          </cell>
          <cell r="B32" t="str">
            <v>Total Zone 1 to 2</v>
          </cell>
          <cell r="E32">
            <v>263952</v>
          </cell>
          <cell r="G32">
            <v>2011314</v>
          </cell>
          <cell r="I32">
            <v>2011314</v>
          </cell>
          <cell r="K32">
            <v>0</v>
          </cell>
        </row>
        <row r="33">
          <cell r="A33">
            <v>23</v>
          </cell>
        </row>
        <row r="34">
          <cell r="A34">
            <v>24</v>
          </cell>
          <cell r="B34" t="str">
            <v>Total Zone 0 to 2</v>
          </cell>
          <cell r="E34">
            <v>27393</v>
          </cell>
          <cell r="G34">
            <v>248181</v>
          </cell>
          <cell r="I34">
            <v>248181</v>
          </cell>
          <cell r="K34">
            <v>0</v>
          </cell>
        </row>
        <row r="35">
          <cell r="A35">
            <v>25</v>
          </cell>
        </row>
        <row r="36">
          <cell r="A36">
            <v>26</v>
          </cell>
          <cell r="B36" t="str">
            <v>Total Zone 1 to 2 and Zone 0 to 2</v>
          </cell>
          <cell r="E36">
            <v>291345</v>
          </cell>
          <cell r="G36">
            <v>2259495</v>
          </cell>
          <cell r="I36">
            <v>2259495</v>
          </cell>
          <cell r="K36">
            <v>0</v>
          </cell>
        </row>
        <row r="37">
          <cell r="A37">
            <v>27</v>
          </cell>
        </row>
        <row r="38">
          <cell r="A38">
            <v>28</v>
          </cell>
          <cell r="B38" t="str">
            <v>Gas Storage</v>
          </cell>
        </row>
        <row r="39">
          <cell r="A39">
            <v>29</v>
          </cell>
          <cell r="B39" t="str">
            <v xml:space="preserve">  Production Area:</v>
          </cell>
        </row>
        <row r="40">
          <cell r="A40">
            <v>30</v>
          </cell>
          <cell r="B40" t="str">
            <v xml:space="preserve">    Demand</v>
          </cell>
          <cell r="C40" t="str">
            <v>(need table, Poole will</v>
          </cell>
          <cell r="D40">
            <v>27</v>
          </cell>
          <cell r="E40">
            <v>34968</v>
          </cell>
          <cell r="F40">
            <v>2.02</v>
          </cell>
          <cell r="G40">
            <v>70635</v>
          </cell>
          <cell r="I40">
            <v>70635</v>
          </cell>
        </row>
        <row r="41">
          <cell r="A41">
            <v>31</v>
          </cell>
          <cell r="B41" t="str">
            <v xml:space="preserve">    Space Charge</v>
          </cell>
          <cell r="C41" t="str">
            <v>provide numbers)</v>
          </cell>
          <cell r="D41">
            <v>27</v>
          </cell>
          <cell r="E41">
            <v>4916148</v>
          </cell>
          <cell r="F41">
            <v>2.4799999999999999E-2</v>
          </cell>
          <cell r="G41">
            <v>121920</v>
          </cell>
          <cell r="I41">
            <v>121920</v>
          </cell>
        </row>
        <row r="42">
          <cell r="A42">
            <v>32</v>
          </cell>
          <cell r="B42" t="str">
            <v xml:space="preserve">  Market Area:</v>
          </cell>
        </row>
        <row r="43">
          <cell r="A43">
            <v>33</v>
          </cell>
          <cell r="B43" t="str">
            <v xml:space="preserve">    Demand</v>
          </cell>
          <cell r="D43">
            <v>27</v>
          </cell>
          <cell r="E43">
            <v>237408</v>
          </cell>
          <cell r="F43">
            <v>1.1499999999999999</v>
          </cell>
          <cell r="G43">
            <v>273019</v>
          </cell>
          <cell r="I43">
            <v>273019</v>
          </cell>
        </row>
        <row r="44">
          <cell r="A44">
            <v>34</v>
          </cell>
          <cell r="B44" t="str">
            <v xml:space="preserve">    Space Charge</v>
          </cell>
          <cell r="D44">
            <v>27</v>
          </cell>
          <cell r="E44">
            <v>10846308</v>
          </cell>
          <cell r="F44">
            <v>1.8499999999999999E-2</v>
          </cell>
          <cell r="G44">
            <v>200657</v>
          </cell>
          <cell r="I44">
            <v>200657</v>
          </cell>
        </row>
        <row r="45">
          <cell r="A45">
            <v>35</v>
          </cell>
          <cell r="B45" t="str">
            <v xml:space="preserve">  Total Storage</v>
          </cell>
          <cell r="G45">
            <v>666231</v>
          </cell>
          <cell r="I45">
            <v>666231</v>
          </cell>
        </row>
        <row r="46">
          <cell r="A46">
            <v>36</v>
          </cell>
        </row>
        <row r="47">
          <cell r="A47">
            <v>37</v>
          </cell>
          <cell r="B47" t="str">
            <v>Vendor Reservation Fees (Fixed)</v>
          </cell>
          <cell r="G47">
            <v>0</v>
          </cell>
          <cell r="I47">
            <v>0</v>
          </cell>
        </row>
        <row r="48">
          <cell r="A48">
            <v>38</v>
          </cell>
        </row>
        <row r="49">
          <cell r="A49">
            <v>39</v>
          </cell>
          <cell r="B49" t="str">
            <v>TOP &amp; Direct Billed Transition costs</v>
          </cell>
          <cell r="G49">
            <v>0</v>
          </cell>
          <cell r="I49">
            <v>0</v>
          </cell>
          <cell r="K49">
            <v>0</v>
          </cell>
        </row>
        <row r="50">
          <cell r="A50">
            <v>40</v>
          </cell>
        </row>
        <row r="51">
          <cell r="A51">
            <v>41</v>
          </cell>
          <cell r="B51" t="str">
            <v>Total Tennessee Gas Area FT-G Non-Commodity</v>
          </cell>
          <cell r="G51">
            <v>2925726</v>
          </cell>
          <cell r="I51">
            <v>2925726</v>
          </cell>
          <cell r="K51">
            <v>0</v>
          </cell>
        </row>
        <row r="52">
          <cell r="A52">
            <v>42</v>
          </cell>
        </row>
        <row r="53">
          <cell r="A53">
            <v>43</v>
          </cell>
        </row>
        <row r="54">
          <cell r="A54">
            <v>44</v>
          </cell>
        </row>
        <row r="55">
          <cell r="A55">
            <v>45</v>
          </cell>
        </row>
        <row r="56">
          <cell r="A56">
            <v>46</v>
          </cell>
        </row>
      </sheetData>
      <sheetData sheetId="92">
        <row r="1">
          <cell r="A1" t="str">
            <v>Atmos Energy Corporation</v>
          </cell>
          <cell r="I1" t="str">
            <v>Exhibit B</v>
          </cell>
        </row>
        <row r="2">
          <cell r="A2" t="str">
            <v>Expected Gas Cost - Commodity</v>
          </cell>
          <cell r="I2" t="str">
            <v>Page 5 of 11</v>
          </cell>
        </row>
        <row r="3">
          <cell r="A3" t="str">
            <v>Purchases in Texas Gas Service Area</v>
          </cell>
        </row>
        <row r="5">
          <cell r="F5" t="str">
            <v>(1)</v>
          </cell>
          <cell r="G5" t="str">
            <v>(2)</v>
          </cell>
          <cell r="H5" t="str">
            <v>(3)</v>
          </cell>
          <cell r="I5" t="str">
            <v>(4)</v>
          </cell>
        </row>
        <row r="7">
          <cell r="A7" t="str">
            <v>Line</v>
          </cell>
          <cell r="D7" t="str">
            <v>Tariff</v>
          </cell>
        </row>
        <row r="8">
          <cell r="A8" t="str">
            <v>No.</v>
          </cell>
          <cell r="B8" t="str">
            <v>Description</v>
          </cell>
          <cell r="D8" t="str">
            <v>Sheet No.</v>
          </cell>
          <cell r="F8" t="str">
            <v>Purchases</v>
          </cell>
          <cell r="H8" t="str">
            <v>Rate</v>
          </cell>
          <cell r="I8" t="str">
            <v>Total</v>
          </cell>
        </row>
        <row r="9">
          <cell r="F9" t="str">
            <v>Mcf</v>
          </cell>
          <cell r="G9" t="str">
            <v>MMbtu</v>
          </cell>
          <cell r="H9" t="str">
            <v>$/MMbtu</v>
          </cell>
          <cell r="I9" t="str">
            <v>$</v>
          </cell>
        </row>
        <row r="11">
          <cell r="A11" t="str">
            <v>1</v>
          </cell>
          <cell r="B11" t="str">
            <v xml:space="preserve"> No Notice Service</v>
          </cell>
          <cell r="G11">
            <v>0</v>
          </cell>
        </row>
        <row r="12">
          <cell r="A12" t="str">
            <v>2</v>
          </cell>
          <cell r="B12" t="str">
            <v xml:space="preserve">  Indexed Gas Cost (Texas Gas Payback)</v>
          </cell>
          <cell r="H12">
            <v>7.7009999999999996</v>
          </cell>
          <cell r="I12">
            <v>0</v>
          </cell>
        </row>
        <row r="13">
          <cell r="A13" t="str">
            <v>3</v>
          </cell>
          <cell r="B13" t="str">
            <v xml:space="preserve">  Commodity</v>
          </cell>
          <cell r="D13">
            <v>20</v>
          </cell>
          <cell r="H13">
            <v>5.0599999999999999E-2</v>
          </cell>
          <cell r="I13">
            <v>0</v>
          </cell>
        </row>
        <row r="14">
          <cell r="A14" t="str">
            <v>4</v>
          </cell>
          <cell r="B14" t="str">
            <v xml:space="preserve">  Fuel and Loss Retention @</v>
          </cell>
          <cell r="D14">
            <v>36</v>
          </cell>
          <cell r="E14">
            <v>3.1699999999999999E-2</v>
          </cell>
          <cell r="H14">
            <v>0.25209999999999999</v>
          </cell>
          <cell r="I14">
            <v>0</v>
          </cell>
        </row>
        <row r="15">
          <cell r="A15" t="str">
            <v>5</v>
          </cell>
          <cell r="H15">
            <v>8.0037000000000003</v>
          </cell>
          <cell r="I15">
            <v>0</v>
          </cell>
        </row>
        <row r="16">
          <cell r="A16" t="str">
            <v>6</v>
          </cell>
        </row>
        <row r="17">
          <cell r="A17" t="str">
            <v>7</v>
          </cell>
          <cell r="B17" t="str">
            <v xml:space="preserve"> Firm Transportation</v>
          </cell>
          <cell r="G17">
            <v>91000</v>
          </cell>
        </row>
        <row r="18">
          <cell r="A18" t="str">
            <v>8</v>
          </cell>
          <cell r="B18" t="str">
            <v xml:space="preserve">  Indexed Gas Cost</v>
          </cell>
          <cell r="H18">
            <v>6.5910000000000002</v>
          </cell>
          <cell r="I18">
            <v>599781</v>
          </cell>
        </row>
        <row r="19">
          <cell r="A19" t="str">
            <v>9</v>
          </cell>
          <cell r="B19" t="str">
            <v xml:space="preserve">  Base (Weighted on MDQs)</v>
          </cell>
          <cell r="D19">
            <v>25</v>
          </cell>
          <cell r="H19">
            <v>4.3900000000000002E-2</v>
          </cell>
          <cell r="I19">
            <v>3995</v>
          </cell>
        </row>
        <row r="20">
          <cell r="A20" t="str">
            <v>10</v>
          </cell>
          <cell r="B20" t="str">
            <v xml:space="preserve">   TCA Adjustment</v>
          </cell>
          <cell r="D20">
            <v>25</v>
          </cell>
          <cell r="H20">
            <v>0</v>
          </cell>
          <cell r="I20">
            <v>0</v>
          </cell>
        </row>
        <row r="21">
          <cell r="A21" t="str">
            <v>11</v>
          </cell>
          <cell r="B21" t="str">
            <v xml:space="preserve">   Unrecovered TCA Surcharge</v>
          </cell>
          <cell r="D21">
            <v>25</v>
          </cell>
          <cell r="H21">
            <v>0</v>
          </cell>
          <cell r="I21">
            <v>0</v>
          </cell>
        </row>
        <row r="22">
          <cell r="A22" t="str">
            <v>12</v>
          </cell>
          <cell r="B22" t="str">
            <v xml:space="preserve">   Cash-out Adjustment</v>
          </cell>
          <cell r="D22">
            <v>25</v>
          </cell>
          <cell r="H22">
            <v>0</v>
          </cell>
          <cell r="I22">
            <v>0</v>
          </cell>
        </row>
        <row r="23">
          <cell r="A23" t="str">
            <v>13</v>
          </cell>
          <cell r="B23" t="str">
            <v xml:space="preserve">  GRI</v>
          </cell>
          <cell r="D23">
            <v>25</v>
          </cell>
          <cell r="H23">
            <v>0</v>
          </cell>
          <cell r="I23">
            <v>0</v>
          </cell>
        </row>
        <row r="24">
          <cell r="A24" t="str">
            <v>14</v>
          </cell>
          <cell r="B24" t="str">
            <v xml:space="preserve">  ACA</v>
          </cell>
          <cell r="D24">
            <v>25</v>
          </cell>
          <cell r="H24">
            <v>1.6000000000000001E-3</v>
          </cell>
          <cell r="I24">
            <v>146</v>
          </cell>
        </row>
        <row r="25">
          <cell r="A25" t="str">
            <v>15</v>
          </cell>
          <cell r="B25" t="str">
            <v xml:space="preserve">  Fuel and Loss Retention @</v>
          </cell>
          <cell r="D25">
            <v>36</v>
          </cell>
          <cell r="E25">
            <v>1.7299999999999999E-2</v>
          </cell>
          <cell r="H25">
            <v>0.11600000000000001</v>
          </cell>
          <cell r="I25">
            <v>10556</v>
          </cell>
        </row>
        <row r="26">
          <cell r="A26" t="str">
            <v>16</v>
          </cell>
          <cell r="H26">
            <v>6.7524999999999995</v>
          </cell>
          <cell r="I26">
            <v>614478</v>
          </cell>
        </row>
        <row r="27">
          <cell r="A27" t="str">
            <v>17</v>
          </cell>
          <cell r="B27" t="str">
            <v>No Notice Storage</v>
          </cell>
        </row>
        <row r="28">
          <cell r="A28" t="str">
            <v>18</v>
          </cell>
          <cell r="B28" t="str">
            <v>Net (Injections)/Withdrawals</v>
          </cell>
          <cell r="G28">
            <v>340681</v>
          </cell>
        </row>
        <row r="29">
          <cell r="A29" t="str">
            <v>19</v>
          </cell>
          <cell r="B29" t="str">
            <v xml:space="preserve">  Indexed Gas Cost</v>
          </cell>
          <cell r="H29">
            <v>6.5910000000000002</v>
          </cell>
          <cell r="I29">
            <v>2245428</v>
          </cell>
        </row>
        <row r="30">
          <cell r="A30" t="str">
            <v>20</v>
          </cell>
          <cell r="B30" t="str">
            <v xml:space="preserve">  Commodity (Zone 3)</v>
          </cell>
          <cell r="D30">
            <v>20</v>
          </cell>
          <cell r="H30">
            <v>5.0599999999999999E-2</v>
          </cell>
          <cell r="I30">
            <v>17238</v>
          </cell>
        </row>
        <row r="31">
          <cell r="A31" t="str">
            <v>21</v>
          </cell>
          <cell r="B31" t="str">
            <v xml:space="preserve">  Fuel and Loss Retention @</v>
          </cell>
          <cell r="D31">
            <v>36</v>
          </cell>
          <cell r="E31">
            <v>3.1699999999999999E-2</v>
          </cell>
          <cell r="H31">
            <v>0.21579999999999999</v>
          </cell>
          <cell r="I31">
            <v>73519</v>
          </cell>
        </row>
        <row r="32">
          <cell r="A32" t="str">
            <v>22</v>
          </cell>
          <cell r="H32">
            <v>6.8574000000000002</v>
          </cell>
          <cell r="I32">
            <v>2336185</v>
          </cell>
        </row>
        <row r="33">
          <cell r="A33" t="str">
            <v>23</v>
          </cell>
        </row>
        <row r="34">
          <cell r="A34" t="str">
            <v>24</v>
          </cell>
        </row>
        <row r="35">
          <cell r="A35" t="str">
            <v>25</v>
          </cell>
          <cell r="B35" t="str">
            <v xml:space="preserve"> Total Purchases in Texas Area</v>
          </cell>
          <cell r="G35">
            <v>431681</v>
          </cell>
          <cell r="H35">
            <v>6.8353000000000002</v>
          </cell>
          <cell r="I35">
            <v>2950663</v>
          </cell>
        </row>
        <row r="36">
          <cell r="A36" t="str">
            <v>26</v>
          </cell>
        </row>
      </sheetData>
      <sheetData sheetId="93">
        <row r="1">
          <cell r="A1" t="str">
            <v>Atmos Energy Corporation</v>
          </cell>
          <cell r="J1" t="str">
            <v>Exhibit B</v>
          </cell>
        </row>
        <row r="2">
          <cell r="A2" t="str">
            <v>Expected Gas Cost - Commodity</v>
          </cell>
          <cell r="J2" t="str">
            <v>Page 6  of  11</v>
          </cell>
        </row>
        <row r="3">
          <cell r="A3" t="str">
            <v>Purchases in Tennessee Gas Service Area</v>
          </cell>
        </row>
        <row r="5">
          <cell r="G5" t="str">
            <v>(1)</v>
          </cell>
          <cell r="H5" t="str">
            <v>(2)</v>
          </cell>
          <cell r="I5" t="str">
            <v>(3)</v>
          </cell>
          <cell r="J5" t="str">
            <v>(4)</v>
          </cell>
        </row>
        <row r="7">
          <cell r="A7" t="str">
            <v>Line</v>
          </cell>
          <cell r="E7" t="str">
            <v>Tariff</v>
          </cell>
        </row>
        <row r="8">
          <cell r="A8" t="str">
            <v>No.</v>
          </cell>
          <cell r="B8" t="str">
            <v>Description</v>
          </cell>
          <cell r="E8" t="str">
            <v>Sheet No.</v>
          </cell>
          <cell r="G8" t="str">
            <v>Purchases</v>
          </cell>
          <cell r="I8" t="str">
            <v>Rate</v>
          </cell>
          <cell r="J8" t="str">
            <v>Total</v>
          </cell>
        </row>
        <row r="9">
          <cell r="G9" t="str">
            <v>Mcf</v>
          </cell>
          <cell r="H9" t="str">
            <v>MMbtu</v>
          </cell>
          <cell r="I9" t="str">
            <v>$/MMbtu</v>
          </cell>
          <cell r="J9" t="str">
            <v>$</v>
          </cell>
        </row>
        <row r="11">
          <cell r="A11">
            <v>1</v>
          </cell>
          <cell r="B11" t="str">
            <v xml:space="preserve"> FT-A and FT-G </v>
          </cell>
          <cell r="H11">
            <v>659675</v>
          </cell>
        </row>
        <row r="12">
          <cell r="A12">
            <v>2</v>
          </cell>
          <cell r="B12" t="str">
            <v xml:space="preserve">  Indexed Gas Cost</v>
          </cell>
          <cell r="I12">
            <v>6.5910000000000002</v>
          </cell>
          <cell r="J12">
            <v>4347918</v>
          </cell>
        </row>
        <row r="13">
          <cell r="A13">
            <v>3</v>
          </cell>
          <cell r="B13" t="str">
            <v xml:space="preserve">  Base Commodity (Weighted on MDQs)</v>
          </cell>
          <cell r="I13">
            <v>7.8600000000000003E-2</v>
          </cell>
          <cell r="J13">
            <v>51850</v>
          </cell>
        </row>
        <row r="14">
          <cell r="A14">
            <v>4</v>
          </cell>
          <cell r="B14" t="str">
            <v xml:space="preserve">  GRI</v>
          </cell>
          <cell r="E14" t="str">
            <v>23C</v>
          </cell>
          <cell r="I14">
            <v>0</v>
          </cell>
          <cell r="J14">
            <v>0</v>
          </cell>
        </row>
        <row r="15">
          <cell r="A15">
            <v>5</v>
          </cell>
          <cell r="B15" t="str">
            <v xml:space="preserve">  ACA</v>
          </cell>
          <cell r="E15" t="str">
            <v>23C</v>
          </cell>
          <cell r="I15">
            <v>1.6000000000000001E-3</v>
          </cell>
          <cell r="J15">
            <v>1055</v>
          </cell>
        </row>
        <row r="16">
          <cell r="A16">
            <v>6</v>
          </cell>
          <cell r="B16" t="str">
            <v xml:space="preserve">  Transition Cost</v>
          </cell>
          <cell r="E16" t="str">
            <v>23C</v>
          </cell>
          <cell r="I16">
            <v>0</v>
          </cell>
          <cell r="J16">
            <v>0</v>
          </cell>
        </row>
        <row r="17">
          <cell r="A17">
            <v>7</v>
          </cell>
          <cell r="B17" t="str">
            <v xml:space="preserve">  Fuel and Loss Retention</v>
          </cell>
          <cell r="E17">
            <v>29</v>
          </cell>
          <cell r="F17">
            <v>4.2799999999999998E-2</v>
          </cell>
          <cell r="I17">
            <v>0.29470000000000002</v>
          </cell>
          <cell r="J17">
            <v>194406</v>
          </cell>
        </row>
        <row r="18">
          <cell r="A18">
            <v>8</v>
          </cell>
          <cell r="I18">
            <v>6.9658999999999995</v>
          </cell>
          <cell r="J18">
            <v>4595229</v>
          </cell>
        </row>
        <row r="19">
          <cell r="A19">
            <v>9</v>
          </cell>
        </row>
        <row r="20">
          <cell r="A20">
            <v>10</v>
          </cell>
        </row>
        <row r="21">
          <cell r="A21">
            <v>11</v>
          </cell>
          <cell r="B21" t="str">
            <v xml:space="preserve"> FT-GS </v>
          </cell>
          <cell r="H21">
            <v>120440</v>
          </cell>
        </row>
        <row r="22">
          <cell r="A22">
            <v>12</v>
          </cell>
          <cell r="B22" t="str">
            <v xml:space="preserve">  Indexed Gas Cost</v>
          </cell>
          <cell r="I22">
            <v>6.5910000000000002</v>
          </cell>
          <cell r="J22">
            <v>793820</v>
          </cell>
        </row>
        <row r="23">
          <cell r="A23">
            <v>13</v>
          </cell>
          <cell r="B23" t="str">
            <v xml:space="preserve">  Base Rate</v>
          </cell>
          <cell r="E23">
            <v>20</v>
          </cell>
          <cell r="I23">
            <v>0.58440000000000003</v>
          </cell>
          <cell r="J23">
            <v>70385</v>
          </cell>
        </row>
        <row r="24">
          <cell r="A24">
            <v>14</v>
          </cell>
          <cell r="B24" t="str">
            <v xml:space="preserve">  GRI</v>
          </cell>
          <cell r="E24">
            <v>20</v>
          </cell>
          <cell r="I24">
            <v>0</v>
          </cell>
          <cell r="J24">
            <v>0</v>
          </cell>
        </row>
        <row r="25">
          <cell r="A25">
            <v>15</v>
          </cell>
          <cell r="B25" t="str">
            <v xml:space="preserve">  ACA</v>
          </cell>
          <cell r="E25">
            <v>20</v>
          </cell>
          <cell r="I25">
            <v>1.6000000000000001E-3</v>
          </cell>
          <cell r="J25">
            <v>193</v>
          </cell>
        </row>
        <row r="26">
          <cell r="A26">
            <v>16</v>
          </cell>
          <cell r="B26" t="str">
            <v xml:space="preserve">  PCB Adjustment</v>
          </cell>
          <cell r="E26">
            <v>20</v>
          </cell>
          <cell r="I26">
            <v>0</v>
          </cell>
          <cell r="J26">
            <v>0</v>
          </cell>
        </row>
        <row r="27">
          <cell r="A27">
            <v>17</v>
          </cell>
          <cell r="B27" t="str">
            <v xml:space="preserve">  Settlement Surcharge</v>
          </cell>
          <cell r="E27">
            <v>20</v>
          </cell>
          <cell r="I27">
            <v>0</v>
          </cell>
          <cell r="J27">
            <v>0</v>
          </cell>
        </row>
        <row r="28">
          <cell r="A28">
            <v>18</v>
          </cell>
          <cell r="B28" t="str">
            <v xml:space="preserve">  Fuel and Loss Retention</v>
          </cell>
          <cell r="E28">
            <v>29</v>
          </cell>
          <cell r="F28">
            <v>4.2799999999999998E-2</v>
          </cell>
          <cell r="I28">
            <v>0.29470000000000002</v>
          </cell>
          <cell r="J28">
            <v>35494</v>
          </cell>
        </row>
        <row r="29">
          <cell r="A29">
            <v>19</v>
          </cell>
          <cell r="I29">
            <v>7.4716999999999993</v>
          </cell>
          <cell r="J29">
            <v>899892</v>
          </cell>
        </row>
        <row r="30">
          <cell r="A30">
            <v>20</v>
          </cell>
        </row>
        <row r="31">
          <cell r="A31">
            <v>21</v>
          </cell>
        </row>
        <row r="32">
          <cell r="A32">
            <v>22</v>
          </cell>
          <cell r="B32" t="str">
            <v>Gas Storage</v>
          </cell>
        </row>
        <row r="33">
          <cell r="A33">
            <v>23</v>
          </cell>
          <cell r="B33" t="str">
            <v xml:space="preserve">  FT-A &amp; FT-G Market Area (Injections)/Withdrawals</v>
          </cell>
          <cell r="H33">
            <v>215385</v>
          </cell>
        </row>
        <row r="34">
          <cell r="A34">
            <v>24</v>
          </cell>
          <cell r="B34" t="str">
            <v xml:space="preserve">  Indexed Gas Cost/Storage</v>
          </cell>
          <cell r="I34">
            <v>6.54</v>
          </cell>
          <cell r="J34">
            <v>1408618</v>
          </cell>
        </row>
        <row r="35">
          <cell r="A35">
            <v>25</v>
          </cell>
          <cell r="B35" t="str">
            <v xml:space="preserve">  Injection Rate</v>
          </cell>
          <cell r="E35">
            <v>27</v>
          </cell>
          <cell r="I35">
            <v>1.0200000000000001E-2</v>
          </cell>
          <cell r="J35">
            <v>2197</v>
          </cell>
        </row>
        <row r="36">
          <cell r="A36">
            <v>26</v>
          </cell>
          <cell r="B36" t="str">
            <v xml:space="preserve">  Fuel and Loss Retention</v>
          </cell>
          <cell r="E36">
            <v>27</v>
          </cell>
          <cell r="F36">
            <v>1.49E-2</v>
          </cell>
          <cell r="I36">
            <v>9.8900000000000002E-2</v>
          </cell>
          <cell r="J36">
            <v>21302</v>
          </cell>
        </row>
        <row r="37">
          <cell r="A37">
            <v>27</v>
          </cell>
          <cell r="B37" t="str">
            <v xml:space="preserve">  Total</v>
          </cell>
          <cell r="I37">
            <v>6.6491000000000007</v>
          </cell>
          <cell r="J37">
            <v>1432117</v>
          </cell>
        </row>
        <row r="38">
          <cell r="A38">
            <v>28</v>
          </cell>
        </row>
        <row r="39">
          <cell r="A39">
            <v>29</v>
          </cell>
        </row>
        <row r="40">
          <cell r="A40">
            <v>30</v>
          </cell>
          <cell r="B40" t="str">
            <v xml:space="preserve">  FT-GS Market Area (Injections)/Withdrawals</v>
          </cell>
          <cell r="H40">
            <v>0</v>
          </cell>
        </row>
        <row r="41">
          <cell r="A41">
            <v>31</v>
          </cell>
          <cell r="B41" t="str">
            <v xml:space="preserve">  Indexed Gas Cost/Storage</v>
          </cell>
          <cell r="I41">
            <v>6.5910000000000002</v>
          </cell>
          <cell r="J41">
            <v>0</v>
          </cell>
        </row>
        <row r="42">
          <cell r="A42">
            <v>32</v>
          </cell>
          <cell r="B42" t="str">
            <v xml:space="preserve">  Injection Rate</v>
          </cell>
          <cell r="E42">
            <v>27</v>
          </cell>
          <cell r="I42">
            <v>1.0200000000000001E-2</v>
          </cell>
          <cell r="J42">
            <v>0</v>
          </cell>
        </row>
        <row r="43">
          <cell r="A43">
            <v>33</v>
          </cell>
          <cell r="B43" t="str">
            <v xml:space="preserve">  Fuel and Loss Retention</v>
          </cell>
          <cell r="E43">
            <v>27</v>
          </cell>
          <cell r="F43">
            <v>1.49E-2</v>
          </cell>
          <cell r="I43">
            <v>9.9699999999999997E-2</v>
          </cell>
          <cell r="J43">
            <v>0</v>
          </cell>
        </row>
        <row r="44">
          <cell r="A44">
            <v>34</v>
          </cell>
          <cell r="B44" t="str">
            <v xml:space="preserve">  Total</v>
          </cell>
          <cell r="I44">
            <v>6.7009000000000007</v>
          </cell>
          <cell r="J44">
            <v>0</v>
          </cell>
        </row>
        <row r="45">
          <cell r="A45">
            <v>35</v>
          </cell>
        </row>
        <row r="46">
          <cell r="A46">
            <v>36</v>
          </cell>
        </row>
        <row r="47">
          <cell r="A47">
            <v>37</v>
          </cell>
          <cell r="B47" t="str">
            <v>Total Tennessee Gas Zones</v>
          </cell>
          <cell r="H47">
            <v>995500</v>
          </cell>
          <cell r="I47">
            <v>6.9585999999999997</v>
          </cell>
          <cell r="J47">
            <v>6927238</v>
          </cell>
        </row>
        <row r="48">
          <cell r="A48">
            <v>38</v>
          </cell>
        </row>
      </sheetData>
      <sheetData sheetId="94"/>
      <sheetData sheetId="95">
        <row r="1">
          <cell r="A1" t="str">
            <v>Atmos Energy Corporation</v>
          </cell>
          <cell r="J1" t="str">
            <v>Exhibit B</v>
          </cell>
        </row>
        <row r="2">
          <cell r="A2" t="str">
            <v>Demand Charge Calculation</v>
          </cell>
          <cell r="J2" t="str">
            <v>Page  8  of  11</v>
          </cell>
        </row>
        <row r="5">
          <cell r="A5" t="str">
            <v>Line</v>
          </cell>
        </row>
        <row r="6">
          <cell r="A6" t="str">
            <v>No.</v>
          </cell>
          <cell r="E6" t="str">
            <v>(1)</v>
          </cell>
          <cell r="F6" t="str">
            <v>(2)</v>
          </cell>
          <cell r="G6" t="str">
            <v>(3)</v>
          </cell>
          <cell r="H6" t="str">
            <v>(4)</v>
          </cell>
          <cell r="I6" t="str">
            <v>(5)</v>
          </cell>
          <cell r="J6" t="str">
            <v>(6)</v>
          </cell>
        </row>
        <row r="8">
          <cell r="A8">
            <v>1</v>
          </cell>
          <cell r="C8" t="str">
            <v>Total Demand Cost:</v>
          </cell>
        </row>
        <row r="9">
          <cell r="A9">
            <v>2</v>
          </cell>
          <cell r="C9" t="str">
            <v xml:space="preserve">  Texas Gas</v>
          </cell>
          <cell r="E9">
            <v>16720559</v>
          </cell>
        </row>
        <row r="10">
          <cell r="A10">
            <v>3</v>
          </cell>
          <cell r="C10" t="str">
            <v xml:space="preserve">  Midwestern</v>
          </cell>
          <cell r="E10">
            <v>0</v>
          </cell>
        </row>
        <row r="11">
          <cell r="A11">
            <v>4</v>
          </cell>
          <cell r="C11" t="str">
            <v xml:space="preserve">  Tennessee Gas</v>
          </cell>
          <cell r="E11">
            <v>2925726</v>
          </cell>
        </row>
        <row r="12">
          <cell r="A12">
            <v>5</v>
          </cell>
          <cell r="C12" t="str">
            <v xml:space="preserve">  Trunkline</v>
          </cell>
          <cell r="E12">
            <v>629820</v>
          </cell>
        </row>
        <row r="13">
          <cell r="A13">
            <v>6</v>
          </cell>
          <cell r="C13" t="str">
            <v xml:space="preserve">  Total</v>
          </cell>
          <cell r="E13">
            <v>20276105</v>
          </cell>
        </row>
        <row r="14">
          <cell r="A14">
            <v>7</v>
          </cell>
        </row>
        <row r="15">
          <cell r="A15">
            <v>8</v>
          </cell>
          <cell r="F15" t="str">
            <v>Allocated</v>
          </cell>
          <cell r="G15" t="str">
            <v>Related</v>
          </cell>
          <cell r="H15" t="str">
            <v>Monthly Demand Charge</v>
          </cell>
        </row>
        <row r="16">
          <cell r="A16">
            <v>9</v>
          </cell>
          <cell r="C16" t="str">
            <v>Demand Cost Allocation:</v>
          </cell>
          <cell r="E16" t="str">
            <v>Factors</v>
          </cell>
          <cell r="F16" t="str">
            <v>Demand</v>
          </cell>
          <cell r="G16" t="str">
            <v>Volumes</v>
          </cell>
          <cell r="H16" t="str">
            <v>Firm</v>
          </cell>
          <cell r="I16" t="str">
            <v>Interruptible</v>
          </cell>
          <cell r="J16" t="str">
            <v>HLF</v>
          </cell>
        </row>
        <row r="17">
          <cell r="A17">
            <v>10</v>
          </cell>
          <cell r="C17" t="str">
            <v xml:space="preserve">  All </v>
          </cell>
          <cell r="E17">
            <v>0.185</v>
          </cell>
          <cell r="F17">
            <v>3751079</v>
          </cell>
          <cell r="G17">
            <v>20401274</v>
          </cell>
          <cell r="H17">
            <v>0.18390000000000001</v>
          </cell>
          <cell r="I17">
            <v>0.18390000000000001</v>
          </cell>
          <cell r="J17">
            <v>0.18390000000000001</v>
          </cell>
        </row>
        <row r="18">
          <cell r="A18">
            <v>11</v>
          </cell>
          <cell r="C18" t="str">
            <v xml:space="preserve">  Firm</v>
          </cell>
          <cell r="E18">
            <v>0.81499999999999995</v>
          </cell>
          <cell r="F18">
            <v>16525026</v>
          </cell>
          <cell r="G18">
            <v>18923274</v>
          </cell>
          <cell r="H18">
            <v>0.87329999999999997</v>
          </cell>
          <cell r="I18" t="str">
            <v>NA</v>
          </cell>
          <cell r="J18" t="str">
            <v>NA</v>
          </cell>
        </row>
        <row r="19">
          <cell r="A19">
            <v>12</v>
          </cell>
          <cell r="C19" t="str">
            <v xml:space="preserve">  Total</v>
          </cell>
          <cell r="E19">
            <v>1</v>
          </cell>
          <cell r="F19">
            <v>20276105</v>
          </cell>
          <cell r="H19">
            <v>1.0571999999999999</v>
          </cell>
          <cell r="I19">
            <v>0.18390000000000001</v>
          </cell>
          <cell r="J19">
            <v>0.18390000000000001</v>
          </cell>
        </row>
        <row r="20">
          <cell r="A20">
            <v>13</v>
          </cell>
        </row>
        <row r="21">
          <cell r="A21">
            <v>14</v>
          </cell>
          <cell r="F21" t="str">
            <v>Volumetric Basis for</v>
          </cell>
        </row>
        <row r="22">
          <cell r="A22">
            <v>15</v>
          </cell>
          <cell r="E22" t="str">
            <v>Annualized</v>
          </cell>
          <cell r="F22" t="str">
            <v>Monthly  Demand Charge</v>
          </cell>
        </row>
        <row r="23">
          <cell r="A23">
            <v>16</v>
          </cell>
          <cell r="E23" t="str">
            <v>Mcf @14.65</v>
          </cell>
          <cell r="F23" t="str">
            <v>All</v>
          </cell>
          <cell r="G23" t="str">
            <v>Firm</v>
          </cell>
        </row>
        <row r="24">
          <cell r="A24">
            <v>17</v>
          </cell>
          <cell r="C24" t="str">
            <v>Firm Service</v>
          </cell>
        </row>
        <row r="25">
          <cell r="A25">
            <v>18</v>
          </cell>
          <cell r="C25" t="str">
            <v xml:space="preserve">  Sales:</v>
          </cell>
        </row>
        <row r="26">
          <cell r="A26">
            <v>19</v>
          </cell>
          <cell r="C26" t="str">
            <v xml:space="preserve">  G-1</v>
          </cell>
          <cell r="E26">
            <v>18887274</v>
          </cell>
          <cell r="F26">
            <v>18887274</v>
          </cell>
          <cell r="G26">
            <v>18887274</v>
          </cell>
          <cell r="H26">
            <v>1.0571999999999999</v>
          </cell>
        </row>
        <row r="27">
          <cell r="A27">
            <v>20</v>
          </cell>
          <cell r="C27" t="str">
            <v xml:space="preserve">  HLF</v>
          </cell>
          <cell r="E27">
            <v>60000</v>
          </cell>
          <cell r="F27">
            <v>60000</v>
          </cell>
          <cell r="H27">
            <v>0.18390000000000001</v>
          </cell>
          <cell r="I27" t="str">
            <v>+ HLF MDQ Demand</v>
          </cell>
        </row>
        <row r="28">
          <cell r="A28">
            <v>21</v>
          </cell>
          <cell r="C28" t="str">
            <v xml:space="preserve">  LVS-1</v>
          </cell>
          <cell r="E28">
            <v>0</v>
          </cell>
          <cell r="F28">
            <v>0</v>
          </cell>
          <cell r="G28">
            <v>0</v>
          </cell>
          <cell r="H28">
            <v>1.0571999999999999</v>
          </cell>
        </row>
        <row r="29">
          <cell r="A29">
            <v>22</v>
          </cell>
          <cell r="C29" t="str">
            <v xml:space="preserve">  Total Firm Sales</v>
          </cell>
          <cell r="E29">
            <v>18947274</v>
          </cell>
          <cell r="F29">
            <v>18947274</v>
          </cell>
          <cell r="G29">
            <v>18887274</v>
          </cell>
        </row>
        <row r="30">
          <cell r="A30">
            <v>23</v>
          </cell>
        </row>
        <row r="31">
          <cell r="A31">
            <v>24</v>
          </cell>
          <cell r="C31" t="str">
            <v xml:space="preserve">  Transportation:</v>
          </cell>
        </row>
        <row r="32">
          <cell r="A32">
            <v>25</v>
          </cell>
          <cell r="C32" t="str">
            <v xml:space="preserve">  T-2 \ G-1</v>
          </cell>
          <cell r="E32">
            <v>36000</v>
          </cell>
          <cell r="F32">
            <v>36000</v>
          </cell>
          <cell r="G32">
            <v>36000</v>
          </cell>
          <cell r="H32">
            <v>1.0571999999999999</v>
          </cell>
        </row>
        <row r="33">
          <cell r="A33">
            <v>26</v>
          </cell>
          <cell r="C33" t="str">
            <v xml:space="preserve">  HLF</v>
          </cell>
          <cell r="E33">
            <v>0</v>
          </cell>
          <cell r="F33">
            <v>0</v>
          </cell>
          <cell r="H33">
            <v>0.18390000000000001</v>
          </cell>
        </row>
        <row r="34">
          <cell r="A34">
            <v>27</v>
          </cell>
          <cell r="C34" t="str">
            <v xml:space="preserve">  Total Firm Service</v>
          </cell>
          <cell r="E34">
            <v>18983274</v>
          </cell>
          <cell r="F34">
            <v>18983274</v>
          </cell>
          <cell r="G34">
            <v>18923274</v>
          </cell>
        </row>
        <row r="35">
          <cell r="A35">
            <v>28</v>
          </cell>
        </row>
        <row r="36">
          <cell r="A36">
            <v>29</v>
          </cell>
          <cell r="C36" t="str">
            <v>Interruptible Service</v>
          </cell>
        </row>
        <row r="37">
          <cell r="A37">
            <v>30</v>
          </cell>
          <cell r="C37" t="str">
            <v xml:space="preserve">  Sales:</v>
          </cell>
        </row>
        <row r="38">
          <cell r="A38">
            <v>31</v>
          </cell>
          <cell r="C38" t="str">
            <v xml:space="preserve">  G-2</v>
          </cell>
          <cell r="E38">
            <v>684000</v>
          </cell>
          <cell r="F38">
            <v>684000</v>
          </cell>
          <cell r="H38">
            <v>1.0571999999999999</v>
          </cell>
          <cell r="I38">
            <v>0.18390000000000001</v>
          </cell>
        </row>
        <row r="39">
          <cell r="A39">
            <v>32</v>
          </cell>
          <cell r="C39" t="str">
            <v xml:space="preserve">  LVS-2</v>
          </cell>
          <cell r="E39">
            <v>154000</v>
          </cell>
          <cell r="F39">
            <v>154000</v>
          </cell>
          <cell r="H39">
            <v>1.0571999999999999</v>
          </cell>
          <cell r="I39">
            <v>0.18390000000000001</v>
          </cell>
        </row>
        <row r="40">
          <cell r="A40">
            <v>33</v>
          </cell>
          <cell r="C40" t="str">
            <v xml:space="preserve">  Total Sales</v>
          </cell>
          <cell r="E40">
            <v>838000</v>
          </cell>
          <cell r="F40">
            <v>838000</v>
          </cell>
        </row>
        <row r="41">
          <cell r="A41">
            <v>34</v>
          </cell>
        </row>
        <row r="42">
          <cell r="A42">
            <v>35</v>
          </cell>
          <cell r="C42" t="str">
            <v xml:space="preserve">  Transportation:</v>
          </cell>
        </row>
        <row r="43">
          <cell r="A43">
            <v>36</v>
          </cell>
          <cell r="C43" t="str">
            <v xml:space="preserve">  T-2 \ G-2</v>
          </cell>
          <cell r="E43">
            <v>580000</v>
          </cell>
          <cell r="F43">
            <v>580000</v>
          </cell>
          <cell r="H43">
            <v>1.0571999999999999</v>
          </cell>
          <cell r="I43">
            <v>0.18390000000000001</v>
          </cell>
        </row>
        <row r="44">
          <cell r="A44">
            <v>37</v>
          </cell>
        </row>
        <row r="45">
          <cell r="A45">
            <v>38</v>
          </cell>
          <cell r="C45" t="str">
            <v xml:space="preserve">  Total Interruptible Service</v>
          </cell>
          <cell r="E45">
            <v>1418000</v>
          </cell>
          <cell r="F45">
            <v>1418000</v>
          </cell>
        </row>
        <row r="46">
          <cell r="A46">
            <v>39</v>
          </cell>
        </row>
        <row r="47">
          <cell r="A47">
            <v>40</v>
          </cell>
          <cell r="C47" t="str">
            <v>Carriage Service</v>
          </cell>
        </row>
        <row r="48">
          <cell r="A48">
            <v>41</v>
          </cell>
          <cell r="C48" t="str">
            <v xml:space="preserve">  T-3 &amp; T-4</v>
          </cell>
          <cell r="E48">
            <v>23438000</v>
          </cell>
        </row>
        <row r="49">
          <cell r="A49">
            <v>42</v>
          </cell>
        </row>
        <row r="50">
          <cell r="A50">
            <v>43</v>
          </cell>
          <cell r="C50" t="str">
            <v>Total</v>
          </cell>
          <cell r="E50">
            <v>43839274</v>
          </cell>
          <cell r="F50">
            <v>20401274</v>
          </cell>
          <cell r="G50">
            <v>18923274</v>
          </cell>
        </row>
        <row r="51">
          <cell r="A51">
            <v>44</v>
          </cell>
        </row>
        <row r="52">
          <cell r="A52">
            <v>45</v>
          </cell>
          <cell r="C52" t="str">
            <v>HLF MDQ Demand</v>
          </cell>
        </row>
        <row r="53">
          <cell r="A53">
            <v>46</v>
          </cell>
          <cell r="C53" t="str">
            <v xml:space="preserve">  Firm Demand Cost</v>
          </cell>
          <cell r="F53">
            <v>16525026</v>
          </cell>
        </row>
        <row r="54">
          <cell r="A54">
            <v>47</v>
          </cell>
          <cell r="C54" t="str">
            <v xml:space="preserve">  Peak Day Thru-put</v>
          </cell>
          <cell r="F54">
            <v>302152</v>
          </cell>
          <cell r="G54" t="str">
            <v>Mcf/Peak Day</v>
          </cell>
        </row>
        <row r="55">
          <cell r="A55">
            <v>48</v>
          </cell>
          <cell r="C55" t="str">
            <v xml:space="preserve">  Times:</v>
          </cell>
          <cell r="F55">
            <v>12</v>
          </cell>
          <cell r="G55" t="str">
            <v>Months/Year</v>
          </cell>
        </row>
        <row r="56">
          <cell r="A56">
            <v>49</v>
          </cell>
          <cell r="C56" t="str">
            <v xml:space="preserve">  Total Annualized Peak Day Demand</v>
          </cell>
          <cell r="F56">
            <v>3625824</v>
          </cell>
        </row>
        <row r="57">
          <cell r="A57">
            <v>50</v>
          </cell>
          <cell r="C57" t="str">
            <v xml:space="preserve">  Demand Charge per MDQ</v>
          </cell>
          <cell r="F57">
            <v>4.5575999999999999</v>
          </cell>
          <cell r="G57" t="str">
            <v>/ MDQ of Customer's Contract</v>
          </cell>
        </row>
      </sheetData>
      <sheetData sheetId="96">
        <row r="1">
          <cell r="A1" t="str">
            <v>Atmos Energy Corporation</v>
          </cell>
          <cell r="J1" t="str">
            <v>Exhibit B</v>
          </cell>
        </row>
        <row r="2">
          <cell r="A2" t="str">
            <v>Take-or-Pay and Transition Charge Calculation</v>
          </cell>
          <cell r="J2" t="str">
            <v>Page  9 of   11</v>
          </cell>
        </row>
        <row r="5">
          <cell r="A5" t="str">
            <v>Line</v>
          </cell>
        </row>
        <row r="6">
          <cell r="A6" t="str">
            <v>No.</v>
          </cell>
          <cell r="E6" t="str">
            <v>(1)</v>
          </cell>
          <cell r="F6" t="str">
            <v>(2)</v>
          </cell>
          <cell r="G6" t="str">
            <v>(3)</v>
          </cell>
          <cell r="H6" t="str">
            <v>(4)</v>
          </cell>
          <cell r="I6" t="str">
            <v>(5)</v>
          </cell>
          <cell r="J6" t="str">
            <v>(6)</v>
          </cell>
        </row>
        <row r="9">
          <cell r="A9">
            <v>1</v>
          </cell>
          <cell r="C9" t="str">
            <v>Other Fixed Charges</v>
          </cell>
          <cell r="E9" t="str">
            <v>Take-or-Pay</v>
          </cell>
          <cell r="F9" t="str">
            <v>Transition</v>
          </cell>
        </row>
        <row r="10">
          <cell r="A10">
            <v>2</v>
          </cell>
          <cell r="C10" t="str">
            <v xml:space="preserve">    Texas Gas</v>
          </cell>
          <cell r="F10">
            <v>0</v>
          </cell>
        </row>
        <row r="11">
          <cell r="A11">
            <v>3</v>
          </cell>
          <cell r="C11" t="str">
            <v xml:space="preserve">    Tennessee Gas</v>
          </cell>
          <cell r="F11">
            <v>0</v>
          </cell>
        </row>
        <row r="12">
          <cell r="A12">
            <v>4</v>
          </cell>
          <cell r="C12" t="str">
            <v xml:space="preserve">    Total</v>
          </cell>
          <cell r="E12">
            <v>0</v>
          </cell>
          <cell r="F12">
            <v>0</v>
          </cell>
        </row>
        <row r="13">
          <cell r="A13">
            <v>5</v>
          </cell>
        </row>
        <row r="14">
          <cell r="A14">
            <v>6</v>
          </cell>
        </row>
        <row r="15">
          <cell r="A15">
            <v>7</v>
          </cell>
          <cell r="F15" t="str">
            <v>Related</v>
          </cell>
          <cell r="G15" t="str">
            <v>Charge</v>
          </cell>
        </row>
        <row r="16">
          <cell r="A16">
            <v>8</v>
          </cell>
          <cell r="C16" t="str">
            <v>Other Fixed Charges</v>
          </cell>
          <cell r="E16" t="str">
            <v>Amount</v>
          </cell>
          <cell r="F16" t="str">
            <v>Volumes</v>
          </cell>
          <cell r="G16" t="str">
            <v xml:space="preserve">  $/Mcf</v>
          </cell>
        </row>
        <row r="17">
          <cell r="A17">
            <v>9</v>
          </cell>
          <cell r="C17" t="str">
            <v xml:space="preserve">  Take-or-Pay</v>
          </cell>
          <cell r="E17">
            <v>0</v>
          </cell>
          <cell r="F17">
            <v>43839274</v>
          </cell>
          <cell r="G17">
            <v>0</v>
          </cell>
        </row>
        <row r="18">
          <cell r="A18">
            <v>10</v>
          </cell>
          <cell r="C18" t="str">
            <v xml:space="preserve">  Transition</v>
          </cell>
          <cell r="E18">
            <v>0</v>
          </cell>
          <cell r="F18">
            <v>20401274</v>
          </cell>
          <cell r="G18">
            <v>0</v>
          </cell>
        </row>
        <row r="19">
          <cell r="A19">
            <v>11</v>
          </cell>
          <cell r="C19" t="str">
            <v xml:space="preserve">  Total</v>
          </cell>
          <cell r="E19">
            <v>0</v>
          </cell>
          <cell r="G19">
            <v>0</v>
          </cell>
        </row>
        <row r="20">
          <cell r="A20">
            <v>12</v>
          </cell>
        </row>
        <row r="21">
          <cell r="A21">
            <v>13</v>
          </cell>
        </row>
        <row r="22">
          <cell r="A22">
            <v>14</v>
          </cell>
          <cell r="F22" t="str">
            <v>Volumetric Basis for</v>
          </cell>
        </row>
        <row r="23">
          <cell r="A23">
            <v>15</v>
          </cell>
          <cell r="E23" t="str">
            <v>Annual</v>
          </cell>
          <cell r="F23" t="str">
            <v>Other Fixed Charges</v>
          </cell>
          <cell r="I23" t="str">
            <v>Other Fixed Charges</v>
          </cell>
        </row>
        <row r="24">
          <cell r="A24">
            <v>16</v>
          </cell>
          <cell r="E24" t="str">
            <v>Expected Mcf</v>
          </cell>
          <cell r="F24" t="str">
            <v>Take-or-Pay</v>
          </cell>
          <cell r="G24" t="str">
            <v>Transition</v>
          </cell>
          <cell r="I24" t="str">
            <v>Take-or-Pay</v>
          </cell>
          <cell r="J24" t="str">
            <v xml:space="preserve">  Transition</v>
          </cell>
        </row>
        <row r="25">
          <cell r="A25">
            <v>17</v>
          </cell>
          <cell r="C25" t="str">
            <v>Firm Service</v>
          </cell>
        </row>
        <row r="26">
          <cell r="A26">
            <v>18</v>
          </cell>
          <cell r="C26" t="str">
            <v xml:space="preserve">  Sales:</v>
          </cell>
        </row>
        <row r="27">
          <cell r="A27">
            <v>19</v>
          </cell>
          <cell r="C27" t="str">
            <v xml:space="preserve">  G-1</v>
          </cell>
          <cell r="E27">
            <v>18887274</v>
          </cell>
          <cell r="F27">
            <v>18887274</v>
          </cell>
          <cell r="G27">
            <v>18887274</v>
          </cell>
          <cell r="J27">
            <v>0</v>
          </cell>
        </row>
        <row r="28">
          <cell r="A28">
            <v>20</v>
          </cell>
          <cell r="C28" t="str">
            <v xml:space="preserve">  HLF</v>
          </cell>
          <cell r="E28">
            <v>60000</v>
          </cell>
          <cell r="F28">
            <v>60000</v>
          </cell>
          <cell r="G28">
            <v>60000</v>
          </cell>
          <cell r="J28">
            <v>0</v>
          </cell>
        </row>
        <row r="29">
          <cell r="A29">
            <v>21</v>
          </cell>
          <cell r="C29" t="str">
            <v xml:space="preserve">  LVS-1</v>
          </cell>
          <cell r="E29">
            <v>0</v>
          </cell>
          <cell r="F29">
            <v>0</v>
          </cell>
          <cell r="G29">
            <v>0</v>
          </cell>
          <cell r="J29">
            <v>0</v>
          </cell>
        </row>
        <row r="30">
          <cell r="A30">
            <v>22</v>
          </cell>
          <cell r="C30" t="str">
            <v xml:space="preserve">  Total Firm Sales</v>
          </cell>
          <cell r="E30">
            <v>18947274</v>
          </cell>
          <cell r="F30">
            <v>18947274</v>
          </cell>
          <cell r="G30">
            <v>18947274</v>
          </cell>
        </row>
        <row r="31">
          <cell r="A31">
            <v>23</v>
          </cell>
        </row>
        <row r="32">
          <cell r="A32">
            <v>24</v>
          </cell>
          <cell r="C32" t="str">
            <v xml:space="preserve">  Transportation:</v>
          </cell>
        </row>
        <row r="33">
          <cell r="A33">
            <v>25</v>
          </cell>
          <cell r="C33" t="str">
            <v xml:space="preserve">  T-2 \ G-1</v>
          </cell>
          <cell r="E33">
            <v>36000</v>
          </cell>
          <cell r="F33">
            <v>36000</v>
          </cell>
          <cell r="G33">
            <v>36000</v>
          </cell>
          <cell r="J33">
            <v>0</v>
          </cell>
        </row>
        <row r="34">
          <cell r="A34">
            <v>26</v>
          </cell>
          <cell r="C34" t="str">
            <v xml:space="preserve">  T-2 \ G-1 \ HLF</v>
          </cell>
          <cell r="E34">
            <v>0</v>
          </cell>
          <cell r="J34">
            <v>0</v>
          </cell>
        </row>
        <row r="35">
          <cell r="A35">
            <v>27</v>
          </cell>
          <cell r="C35" t="str">
            <v xml:space="preserve">  Total Firm Service</v>
          </cell>
          <cell r="E35">
            <v>18983274</v>
          </cell>
          <cell r="F35">
            <v>18983274</v>
          </cell>
          <cell r="G35">
            <v>18983274</v>
          </cell>
        </row>
        <row r="36">
          <cell r="A36">
            <v>28</v>
          </cell>
        </row>
        <row r="37">
          <cell r="A37">
            <v>29</v>
          </cell>
          <cell r="C37" t="str">
            <v>Interruptible Service</v>
          </cell>
        </row>
        <row r="38">
          <cell r="A38">
            <v>30</v>
          </cell>
          <cell r="C38" t="str">
            <v xml:space="preserve">  Sales:</v>
          </cell>
        </row>
        <row r="39">
          <cell r="A39">
            <v>31</v>
          </cell>
          <cell r="C39" t="str">
            <v xml:space="preserve">  G-2</v>
          </cell>
          <cell r="E39">
            <v>684000</v>
          </cell>
          <cell r="F39">
            <v>684000</v>
          </cell>
          <cell r="G39">
            <v>684000</v>
          </cell>
          <cell r="J39">
            <v>0</v>
          </cell>
        </row>
        <row r="40">
          <cell r="A40">
            <v>32</v>
          </cell>
          <cell r="C40" t="str">
            <v xml:space="preserve">  LVS-2</v>
          </cell>
          <cell r="E40">
            <v>154000</v>
          </cell>
          <cell r="F40">
            <v>154000</v>
          </cell>
          <cell r="G40">
            <v>154000</v>
          </cell>
          <cell r="J40">
            <v>0</v>
          </cell>
        </row>
        <row r="41">
          <cell r="A41">
            <v>33</v>
          </cell>
          <cell r="C41" t="str">
            <v xml:space="preserve">  Total Sales</v>
          </cell>
          <cell r="E41">
            <v>838000</v>
          </cell>
          <cell r="F41">
            <v>838000</v>
          </cell>
          <cell r="G41">
            <v>838000</v>
          </cell>
        </row>
        <row r="42">
          <cell r="A42">
            <v>34</v>
          </cell>
        </row>
        <row r="43">
          <cell r="A43">
            <v>35</v>
          </cell>
          <cell r="C43" t="str">
            <v xml:space="preserve">  Transportation:</v>
          </cell>
        </row>
        <row r="44">
          <cell r="A44">
            <v>36</v>
          </cell>
          <cell r="C44" t="str">
            <v xml:space="preserve">  T-2 \ G-2</v>
          </cell>
          <cell r="E44">
            <v>580000</v>
          </cell>
          <cell r="F44">
            <v>580000</v>
          </cell>
          <cell r="G44">
            <v>580000</v>
          </cell>
          <cell r="J44">
            <v>0</v>
          </cell>
        </row>
        <row r="45">
          <cell r="A45">
            <v>37</v>
          </cell>
        </row>
        <row r="46">
          <cell r="A46">
            <v>38</v>
          </cell>
          <cell r="C46" t="str">
            <v xml:space="preserve">  Total Interruptible Service</v>
          </cell>
          <cell r="E46">
            <v>1418000</v>
          </cell>
          <cell r="F46">
            <v>1418000</v>
          </cell>
          <cell r="G46">
            <v>1418000</v>
          </cell>
        </row>
        <row r="47">
          <cell r="A47">
            <v>39</v>
          </cell>
        </row>
        <row r="48">
          <cell r="A48">
            <v>40</v>
          </cell>
          <cell r="C48" t="str">
            <v>Carriage Service</v>
          </cell>
        </row>
        <row r="49">
          <cell r="A49">
            <v>41</v>
          </cell>
          <cell r="C49" t="str">
            <v xml:space="preserve">  T-3 &amp; T-4</v>
          </cell>
          <cell r="E49">
            <v>23438000</v>
          </cell>
          <cell r="F49">
            <v>23438000</v>
          </cell>
          <cell r="G49" t="str">
            <v>NA</v>
          </cell>
        </row>
        <row r="50">
          <cell r="A50">
            <v>42</v>
          </cell>
        </row>
        <row r="51">
          <cell r="A51">
            <v>43</v>
          </cell>
          <cell r="C51" t="str">
            <v>Total</v>
          </cell>
          <cell r="E51">
            <v>43839274</v>
          </cell>
          <cell r="F51">
            <v>43839274</v>
          </cell>
          <cell r="G51">
            <v>20401274</v>
          </cell>
        </row>
      </sheetData>
      <sheetData sheetId="97">
        <row r="1">
          <cell r="A1" t="str">
            <v>Atmos Energy Corporation</v>
          </cell>
          <cell r="H1" t="str">
            <v>Exhibit B</v>
          </cell>
        </row>
        <row r="2">
          <cell r="A2" t="str">
            <v>Expected Gas Cost - Commodity</v>
          </cell>
          <cell r="H2" t="str">
            <v>Page  10  of  11</v>
          </cell>
        </row>
        <row r="3">
          <cell r="A3" t="str">
            <v>Total System</v>
          </cell>
        </row>
        <row r="5">
          <cell r="E5" t="str">
            <v>(1)</v>
          </cell>
          <cell r="F5" t="str">
            <v>(2)</v>
          </cell>
          <cell r="G5" t="str">
            <v>(3)</v>
          </cell>
          <cell r="H5" t="str">
            <v>(4)</v>
          </cell>
        </row>
        <row r="7">
          <cell r="A7" t="str">
            <v>Line</v>
          </cell>
        </row>
        <row r="8">
          <cell r="A8" t="str">
            <v>No.</v>
          </cell>
          <cell r="B8" t="str">
            <v>Description</v>
          </cell>
          <cell r="E8" t="str">
            <v>Purchases</v>
          </cell>
          <cell r="G8" t="str">
            <v>Rate</v>
          </cell>
          <cell r="H8" t="str">
            <v>Total</v>
          </cell>
        </row>
        <row r="9">
          <cell r="E9" t="str">
            <v>Mcf</v>
          </cell>
          <cell r="F9" t="str">
            <v>MMbtu</v>
          </cell>
          <cell r="G9" t="str">
            <v>$/MMbtu</v>
          </cell>
          <cell r="H9" t="str">
            <v>$</v>
          </cell>
        </row>
        <row r="11">
          <cell r="A11">
            <v>1</v>
          </cell>
          <cell r="B11" t="str">
            <v>Texas Gas Area</v>
          </cell>
        </row>
        <row r="12">
          <cell r="A12">
            <v>2</v>
          </cell>
          <cell r="B12" t="str">
            <v>No Notice Service</v>
          </cell>
          <cell r="E12">
            <v>0</v>
          </cell>
          <cell r="F12">
            <v>0</v>
          </cell>
          <cell r="G12">
            <v>0</v>
          </cell>
          <cell r="H12">
            <v>0</v>
          </cell>
        </row>
        <row r="13">
          <cell r="A13">
            <v>3</v>
          </cell>
          <cell r="B13" t="str">
            <v>Firm Transportation</v>
          </cell>
          <cell r="E13">
            <v>88780</v>
          </cell>
          <cell r="F13">
            <v>91000</v>
          </cell>
          <cell r="G13">
            <v>6.7525000000000004</v>
          </cell>
          <cell r="H13">
            <v>614478</v>
          </cell>
        </row>
        <row r="14">
          <cell r="A14">
            <v>4</v>
          </cell>
          <cell r="B14" t="str">
            <v>No Notice Storage</v>
          </cell>
          <cell r="E14">
            <v>332372</v>
          </cell>
          <cell r="F14">
            <v>340681</v>
          </cell>
          <cell r="G14">
            <v>6.8574000000000002</v>
          </cell>
          <cell r="H14">
            <v>2336185</v>
          </cell>
        </row>
        <row r="15">
          <cell r="A15">
            <v>5</v>
          </cell>
          <cell r="B15" t="str">
            <v>Total Texas Gas Area</v>
          </cell>
          <cell r="E15">
            <v>421152</v>
          </cell>
          <cell r="F15">
            <v>431681</v>
          </cell>
          <cell r="G15">
            <v>6.8353000000000002</v>
          </cell>
          <cell r="H15">
            <v>2950663</v>
          </cell>
        </row>
        <row r="16">
          <cell r="A16">
            <v>6</v>
          </cell>
        </row>
        <row r="17">
          <cell r="A17">
            <v>7</v>
          </cell>
          <cell r="B17" t="str">
            <v>Tennessee Gas Area</v>
          </cell>
        </row>
        <row r="18">
          <cell r="A18">
            <v>8</v>
          </cell>
          <cell r="B18" t="str">
            <v xml:space="preserve"> FT-A and FT-G </v>
          </cell>
          <cell r="E18">
            <v>634303</v>
          </cell>
          <cell r="F18">
            <v>659675</v>
          </cell>
          <cell r="G18">
            <v>6.9659000000000004</v>
          </cell>
          <cell r="H18">
            <v>4595229</v>
          </cell>
        </row>
        <row r="19">
          <cell r="A19">
            <v>9</v>
          </cell>
          <cell r="B19" t="str">
            <v xml:space="preserve"> FT-GS </v>
          </cell>
          <cell r="E19">
            <v>115808</v>
          </cell>
          <cell r="F19">
            <v>120440</v>
          </cell>
          <cell r="G19">
            <v>7.4717000000000002</v>
          </cell>
          <cell r="H19">
            <v>899892</v>
          </cell>
        </row>
        <row r="20">
          <cell r="A20">
            <v>10</v>
          </cell>
          <cell r="B20" t="str">
            <v xml:space="preserve"> Gas Storage</v>
          </cell>
        </row>
        <row r="21">
          <cell r="A21">
            <v>11</v>
          </cell>
          <cell r="B21" t="str">
            <v xml:space="preserve">  FT-A and FT-G Injections</v>
          </cell>
          <cell r="E21">
            <v>207101</v>
          </cell>
          <cell r="F21">
            <v>215385</v>
          </cell>
          <cell r="G21">
            <v>6.6490999999999998</v>
          </cell>
          <cell r="H21">
            <v>1432117</v>
          </cell>
        </row>
        <row r="22">
          <cell r="A22">
            <v>12</v>
          </cell>
          <cell r="B22" t="str">
            <v xml:space="preserve">  FT-GS Withdrawals</v>
          </cell>
          <cell r="E22">
            <v>0</v>
          </cell>
          <cell r="F22">
            <v>0</v>
          </cell>
          <cell r="G22">
            <v>0</v>
          </cell>
          <cell r="H22">
            <v>0</v>
          </cell>
        </row>
        <row r="23">
          <cell r="A23">
            <v>13</v>
          </cell>
          <cell r="E23">
            <v>957212</v>
          </cell>
          <cell r="F23">
            <v>995500</v>
          </cell>
          <cell r="G23">
            <v>6.9585999999999997</v>
          </cell>
          <cell r="H23">
            <v>6927238</v>
          </cell>
        </row>
        <row r="24">
          <cell r="A24">
            <v>14</v>
          </cell>
          <cell r="B24" t="str">
            <v>Trunkline Gas Area</v>
          </cell>
        </row>
        <row r="25">
          <cell r="A25">
            <v>15</v>
          </cell>
          <cell r="B25" t="str">
            <v>Firm Transportation</v>
          </cell>
          <cell r="E25">
            <v>212077.29468599035</v>
          </cell>
          <cell r="F25">
            <v>219500</v>
          </cell>
          <cell r="G25">
            <v>6.6224999999999996</v>
          </cell>
          <cell r="H25">
            <v>1453639</v>
          </cell>
        </row>
        <row r="26">
          <cell r="A26">
            <v>16</v>
          </cell>
        </row>
        <row r="27">
          <cell r="A27">
            <v>17</v>
          </cell>
        </row>
        <row r="28">
          <cell r="A28">
            <v>18</v>
          </cell>
          <cell r="B28" t="str">
            <v>WKG System Storage</v>
          </cell>
        </row>
        <row r="29">
          <cell r="A29">
            <v>19</v>
          </cell>
          <cell r="B29" t="str">
            <v>Injections</v>
          </cell>
          <cell r="E29">
            <v>-759591</v>
          </cell>
          <cell r="F29">
            <v>-778581</v>
          </cell>
          <cell r="G29">
            <v>6.4372857142857152</v>
          </cell>
          <cell r="H29">
            <v>-5011948</v>
          </cell>
        </row>
        <row r="30">
          <cell r="A30">
            <v>20</v>
          </cell>
          <cell r="B30" t="str">
            <v>Withdrawals</v>
          </cell>
          <cell r="E30">
            <v>3680000</v>
          </cell>
          <cell r="F30">
            <v>3772000</v>
          </cell>
          <cell r="G30">
            <v>7.1669999999999998</v>
          </cell>
          <cell r="H30">
            <v>27033924</v>
          </cell>
        </row>
        <row r="31">
          <cell r="A31">
            <v>21</v>
          </cell>
          <cell r="B31" t="str">
            <v>Net WKG Storage</v>
          </cell>
          <cell r="E31">
            <v>2920408.7804878051</v>
          </cell>
          <cell r="F31">
            <v>2993419</v>
          </cell>
          <cell r="G31">
            <v>7.3567999999999998</v>
          </cell>
          <cell r="H31">
            <v>22021976</v>
          </cell>
        </row>
        <row r="32">
          <cell r="A32">
            <v>22</v>
          </cell>
        </row>
        <row r="33">
          <cell r="A33">
            <v>23</v>
          </cell>
        </row>
        <row r="34">
          <cell r="A34">
            <v>24</v>
          </cell>
          <cell r="B34" t="str">
            <v>Local Production</v>
          </cell>
          <cell r="E34">
            <v>59512</v>
          </cell>
          <cell r="F34">
            <v>61000</v>
          </cell>
          <cell r="G34">
            <v>6.7525000000000004</v>
          </cell>
          <cell r="H34">
            <v>411903</v>
          </cell>
        </row>
        <row r="35">
          <cell r="A35">
            <v>25</v>
          </cell>
        </row>
        <row r="36">
          <cell r="A36">
            <v>26</v>
          </cell>
        </row>
        <row r="37">
          <cell r="A37">
            <v>27</v>
          </cell>
        </row>
        <row r="38">
          <cell r="A38">
            <v>28</v>
          </cell>
          <cell r="B38" t="str">
            <v xml:space="preserve"> Total Commodity Purchases</v>
          </cell>
          <cell r="E38">
            <v>4570362.0751737952</v>
          </cell>
          <cell r="F38">
            <v>4701100</v>
          </cell>
          <cell r="G38">
            <v>7.1825000000000001</v>
          </cell>
          <cell r="H38">
            <v>33765419</v>
          </cell>
        </row>
        <row r="39">
          <cell r="A39">
            <v>29</v>
          </cell>
        </row>
        <row r="40">
          <cell r="A40">
            <v>30</v>
          </cell>
          <cell r="B40" t="str">
            <v>Lost &amp; Unaccounted for  @</v>
          </cell>
          <cell r="D40">
            <v>1.38E-2</v>
          </cell>
          <cell r="E40">
            <v>63071</v>
          </cell>
          <cell r="F40">
            <v>64875</v>
          </cell>
        </row>
        <row r="41">
          <cell r="A41">
            <v>31</v>
          </cell>
        </row>
        <row r="42">
          <cell r="A42">
            <v>32</v>
          </cell>
          <cell r="B42" t="str">
            <v>Total Deliveries</v>
          </cell>
          <cell r="E42">
            <v>4507291.0751737952</v>
          </cell>
          <cell r="F42">
            <v>4636225</v>
          </cell>
          <cell r="G42">
            <v>7.2830000000000004</v>
          </cell>
          <cell r="H42">
            <v>33765419</v>
          </cell>
        </row>
        <row r="43">
          <cell r="A43">
            <v>33</v>
          </cell>
        </row>
        <row r="44">
          <cell r="A44">
            <v>34</v>
          </cell>
          <cell r="B44" t="str">
            <v>LVS Commodity Credit to System</v>
          </cell>
        </row>
        <row r="45">
          <cell r="A45">
            <v>35</v>
          </cell>
          <cell r="B45" t="str">
            <v>LVS Sales</v>
          </cell>
          <cell r="C45" t="str">
            <v>Need table of monthly =&gt;</v>
          </cell>
          <cell r="E45">
            <v>-20000</v>
          </cell>
          <cell r="F45">
            <v>-20572</v>
          </cell>
          <cell r="G45">
            <v>9.4163999999999994</v>
          </cell>
          <cell r="H45">
            <v>-193714</v>
          </cell>
        </row>
        <row r="46">
          <cell r="A46">
            <v>36</v>
          </cell>
        </row>
        <row r="47">
          <cell r="A47">
            <v>37</v>
          </cell>
        </row>
        <row r="48">
          <cell r="A48">
            <v>38</v>
          </cell>
          <cell r="B48" t="str">
            <v>Total Expected Commodity Cost</v>
          </cell>
          <cell r="E48">
            <v>4487291.0751737952</v>
          </cell>
          <cell r="F48">
            <v>4615653</v>
          </cell>
          <cell r="G48">
            <v>7.2733999999999996</v>
          </cell>
          <cell r="H48">
            <v>33571705</v>
          </cell>
        </row>
        <row r="50">
          <cell r="G50">
            <v>7.4814999999999996</v>
          </cell>
        </row>
      </sheetData>
      <sheetData sheetId="98"/>
      <sheetData sheetId="99"/>
      <sheetData sheetId="100">
        <row r="1">
          <cell r="A1" t="str">
            <v>Atmos Energy Corporation</v>
          </cell>
          <cell r="K1" t="str">
            <v>Exhibit C</v>
          </cell>
        </row>
        <row r="2">
          <cell r="A2" t="str">
            <v>Current "Cash-out" Prices</v>
          </cell>
          <cell r="K2" t="str">
            <v>Page 21 of 21</v>
          </cell>
        </row>
        <row r="3">
          <cell r="A3" t="str">
            <v>For the Month of November, 2006</v>
          </cell>
        </row>
        <row r="7">
          <cell r="G7" t="str">
            <v>Indexed 1</v>
          </cell>
          <cell r="K7" t="str">
            <v>WKG</v>
          </cell>
        </row>
        <row r="8">
          <cell r="G8" t="str">
            <v>Cash-out</v>
          </cell>
          <cell r="I8" t="str">
            <v>Transport</v>
          </cell>
          <cell r="K8" t="str">
            <v>Cash-out</v>
          </cell>
        </row>
        <row r="9">
          <cell r="A9" t="str">
            <v>For WKG customers served  in:</v>
          </cell>
          <cell r="G9" t="str">
            <v>Price</v>
          </cell>
          <cell r="I9" t="str">
            <v>Charge 2, 3</v>
          </cell>
          <cell r="K9" t="str">
            <v>Price</v>
          </cell>
        </row>
        <row r="11">
          <cell r="A11" t="str">
            <v>A.</v>
          </cell>
          <cell r="C11" t="str">
            <v>Texas Gas:</v>
          </cell>
        </row>
        <row r="12">
          <cell r="C12" t="str">
            <v>Zone 2 Area</v>
          </cell>
          <cell r="E12" t="str">
            <v>100% of Index Price</v>
          </cell>
          <cell r="G12">
            <v>7.3879999999999999</v>
          </cell>
          <cell r="H12" t="str">
            <v>+</v>
          </cell>
          <cell r="I12">
            <v>4.7800000000000002E-2</v>
          </cell>
          <cell r="J12" t="str">
            <v>=</v>
          </cell>
          <cell r="K12">
            <v>7.4357999999999995</v>
          </cell>
        </row>
        <row r="13">
          <cell r="E13" t="str">
            <v xml:space="preserve"> 90% of Index Price</v>
          </cell>
          <cell r="G13">
            <v>6.6492000000000004</v>
          </cell>
          <cell r="H13" t="str">
            <v>+</v>
          </cell>
          <cell r="I13">
            <v>4.7800000000000002E-2</v>
          </cell>
          <cell r="J13" t="str">
            <v>=</v>
          </cell>
          <cell r="K13">
            <v>6.6970000000000001</v>
          </cell>
        </row>
        <row r="14">
          <cell r="E14" t="str">
            <v xml:space="preserve"> 80% of Index Price</v>
          </cell>
          <cell r="G14">
            <v>5.9104000000000001</v>
          </cell>
          <cell r="H14" t="str">
            <v>+</v>
          </cell>
          <cell r="I14">
            <v>4.7800000000000002E-2</v>
          </cell>
          <cell r="J14" t="str">
            <v>=</v>
          </cell>
          <cell r="K14">
            <v>5.9581999999999997</v>
          </cell>
        </row>
        <row r="16">
          <cell r="C16" t="str">
            <v>Zone 3 Area</v>
          </cell>
          <cell r="E16" t="str">
            <v>100% of Index Price</v>
          </cell>
          <cell r="G16">
            <v>7.3879999999999999</v>
          </cell>
          <cell r="H16" t="str">
            <v>+</v>
          </cell>
          <cell r="I16">
            <v>5.0800000000000005E-2</v>
          </cell>
          <cell r="J16" t="str">
            <v>=</v>
          </cell>
          <cell r="K16">
            <v>7.4387999999999996</v>
          </cell>
        </row>
        <row r="17">
          <cell r="E17" t="str">
            <v xml:space="preserve"> 90% of Index Price</v>
          </cell>
          <cell r="G17">
            <v>6.6492000000000004</v>
          </cell>
          <cell r="H17" t="str">
            <v>+</v>
          </cell>
          <cell r="I17">
            <v>5.0800000000000005E-2</v>
          </cell>
          <cell r="J17" t="str">
            <v>=</v>
          </cell>
          <cell r="K17">
            <v>6.7</v>
          </cell>
        </row>
        <row r="18">
          <cell r="E18" t="str">
            <v xml:space="preserve"> 80% of Index Price</v>
          </cell>
          <cell r="G18">
            <v>5.9104000000000001</v>
          </cell>
          <cell r="H18" t="str">
            <v>+</v>
          </cell>
          <cell r="I18">
            <v>5.0800000000000005E-2</v>
          </cell>
          <cell r="J18" t="str">
            <v>=</v>
          </cell>
          <cell r="K18">
            <v>5.9611999999999998</v>
          </cell>
        </row>
        <row r="20">
          <cell r="C20" t="str">
            <v>Zone 4 Area</v>
          </cell>
          <cell r="E20" t="str">
            <v>100% of Index Price</v>
          </cell>
          <cell r="G20">
            <v>7.3879999999999999</v>
          </cell>
          <cell r="H20" t="str">
            <v>+</v>
          </cell>
          <cell r="I20">
            <v>6.3200000000000006E-2</v>
          </cell>
          <cell r="J20" t="str">
            <v>=</v>
          </cell>
          <cell r="K20">
            <v>7.4512</v>
          </cell>
        </row>
        <row r="21">
          <cell r="E21" t="str">
            <v xml:space="preserve"> 90% of Index Price</v>
          </cell>
          <cell r="G21">
            <v>6.6492000000000004</v>
          </cell>
          <cell r="H21" t="str">
            <v>+</v>
          </cell>
          <cell r="I21">
            <v>6.3200000000000006E-2</v>
          </cell>
          <cell r="J21" t="str">
            <v>=</v>
          </cell>
          <cell r="K21">
            <v>6.7124000000000006</v>
          </cell>
        </row>
        <row r="22">
          <cell r="E22" t="str">
            <v xml:space="preserve"> 80% of Index Price</v>
          </cell>
          <cell r="G22">
            <v>5.9104000000000001</v>
          </cell>
          <cell r="H22" t="str">
            <v>+</v>
          </cell>
          <cell r="I22">
            <v>6.3200000000000006E-2</v>
          </cell>
          <cell r="J22" t="str">
            <v>=</v>
          </cell>
          <cell r="K22">
            <v>5.9736000000000002</v>
          </cell>
        </row>
        <row r="24">
          <cell r="A24" t="str">
            <v>B.</v>
          </cell>
          <cell r="C24" t="str">
            <v>Tennessee Gas:</v>
          </cell>
        </row>
        <row r="25">
          <cell r="C25" t="str">
            <v>Zone 2 Area</v>
          </cell>
          <cell r="E25" t="str">
            <v>100% of Index Price</v>
          </cell>
          <cell r="G25">
            <v>7.1712999999999996</v>
          </cell>
          <cell r="H25" t="str">
            <v>+</v>
          </cell>
          <cell r="I25">
            <v>1.7899999999999999E-2</v>
          </cell>
          <cell r="J25" t="str">
            <v>=</v>
          </cell>
          <cell r="K25">
            <v>7.1891999999999996</v>
          </cell>
        </row>
        <row r="26">
          <cell r="E26" t="str">
            <v xml:space="preserve"> 90% of Index Price</v>
          </cell>
          <cell r="G26">
            <v>6.4542000000000002</v>
          </cell>
          <cell r="H26" t="str">
            <v>+</v>
          </cell>
          <cell r="I26">
            <v>1.7899999999999999E-2</v>
          </cell>
          <cell r="J26" t="str">
            <v>=</v>
          </cell>
          <cell r="K26">
            <v>6.4721000000000002</v>
          </cell>
        </row>
        <row r="27">
          <cell r="E27" t="str">
            <v xml:space="preserve"> 80% of Index Price</v>
          </cell>
          <cell r="G27">
            <v>5.7370000000000001</v>
          </cell>
          <cell r="H27" t="str">
            <v>+</v>
          </cell>
          <cell r="I27">
            <v>1.7899999999999999E-2</v>
          </cell>
          <cell r="J27" t="str">
            <v>=</v>
          </cell>
          <cell r="K27">
            <v>5.7549000000000001</v>
          </cell>
        </row>
        <row r="31">
          <cell r="A31" t="str">
            <v>1</v>
          </cell>
          <cell r="B31" t="str">
            <v>Indexed cash-out price is from the pipeline's Electronic Bulletin Board.</v>
          </cell>
        </row>
        <row r="33">
          <cell r="A33" t="str">
            <v>2</v>
          </cell>
          <cell r="B33" t="str">
            <v>Transport charge used for Texas Gas is its tariff sheet no. 20 commodity rate.</v>
          </cell>
        </row>
        <row r="35">
          <cell r="A35" t="str">
            <v>3</v>
          </cell>
          <cell r="B35" t="str">
            <v xml:space="preserve">Transport charge used for Tennessee Gas is its tariff sheet no. 23A maximum </v>
          </cell>
        </row>
        <row r="36">
          <cell r="B36" t="str">
            <v>commodity rate from zone 0 to zone 2.</v>
          </cell>
        </row>
      </sheetData>
      <sheetData sheetId="101"/>
      <sheetData sheetId="102"/>
      <sheetData sheetId="103"/>
      <sheetData sheetId="104"/>
      <sheetData sheetId="105" refreshError="1"/>
      <sheetData sheetId="106" refreshError="1"/>
      <sheetData sheetId="107" refreshError="1"/>
      <sheetData sheetId="10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Main Inputs"/>
      <sheetName val="D1 (Summary)"/>
      <sheetName val="D2 (Purchase Volumes)"/>
      <sheetName val="D3 (Purchase Costs)"/>
      <sheetName val="D4 (Recoveries)"/>
      <sheetName val="D5 (Supply Detail)"/>
      <sheetName val="D6 (Bad Debt)"/>
      <sheetName val="PBR Savings"/>
    </sheetNames>
    <sheetDataSet>
      <sheetData sheetId="0"/>
      <sheetData sheetId="1">
        <row r="5">
          <cell r="C5">
            <v>40513</v>
          </cell>
        </row>
      </sheetData>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 Contents"/>
      <sheetName val="Contents"/>
      <sheetName val="Documentation"/>
      <sheetName val="Macros"/>
      <sheetName val="1. MAIN INPUTS"/>
      <sheetName val="2. VOLUMES"/>
      <sheetName val="Sales"/>
      <sheetName val="Degree Days"/>
      <sheetName val="Transport"/>
      <sheetName val="Purchases Tex"/>
      <sheetName val="Purchases Ten"/>
      <sheetName val="Purchases Trk"/>
      <sheetName val="LVS COG Prelim"/>
      <sheetName val="LVS COG Final"/>
      <sheetName val="Borrowed Tex"/>
      <sheetName val="Storage Ten"/>
      <sheetName val="WKG Storage"/>
      <sheetName val="Storage .."/>
      <sheetName val="Cont. NO210"/>
      <sheetName val="Cont. NO340"/>
      <sheetName val="Cont. NO435"/>
      <sheetName val="Cont. 3770"/>
      <sheetName val="Cont. 3817"/>
      <sheetName val="Cont.3355"/>
      <sheetName val="Cont. 3355.1"/>
      <sheetName val="Cont. 3819"/>
      <sheetName val="Cont.9213"/>
      <sheetName val="Tex Res"/>
      <sheetName val="Cont. T13687"/>
      <sheetName val="Cont. 2546"/>
      <sheetName val="Cont. 2546.1"/>
      <sheetName val="Cont. 2548"/>
      <sheetName val="Cont. 2548.1"/>
      <sheetName val="Cont. 2550"/>
      <sheetName val="Cont. 2550.1"/>
      <sheetName val="Cont. 2551"/>
      <sheetName val="Cont. 2551.1"/>
      <sheetName val="Cont. 2385"/>
      <sheetName val="Ten Res Fee"/>
      <sheetName val="Ten Transition"/>
      <sheetName val="7. Trunkline Gas"/>
      <sheetName val="Cont. 014573"/>
      <sheetName val="Trunk Res Fee"/>
      <sheetName val="Trunk Supp Res Fee"/>
      <sheetName val="Trunk Rates"/>
      <sheetName val="3. GCA HISTORY"/>
      <sheetName val="gca G1"/>
      <sheetName val="gca G1 HLF"/>
      <sheetName val="gca LVS1"/>
      <sheetName val="gca LVS1 HLF"/>
      <sheetName val="gca G2"/>
      <sheetName val="gca LVS2"/>
      <sheetName val="gca T2 G1"/>
      <sheetName val="gca T2 G1 HLF"/>
      <sheetName val="gca T4"/>
      <sheetName val="gca T2 G2"/>
      <sheetName val="gca T3"/>
      <sheetName val="4. REFUNDS"/>
      <sheetName val="R_Sales"/>
      <sheetName val="R_Transport"/>
      <sheetName val="CF"/>
      <sheetName val="PBRRF"/>
      <sheetName val="5.RATES_WKG"/>
      <sheetName val="G 1"/>
      <sheetName val="G1_HLF"/>
      <sheetName val="LVS 1"/>
      <sheetName val="LVS 1_HLF"/>
      <sheetName val="G 2"/>
      <sheetName val="LVS 2"/>
      <sheetName val="T2_G1"/>
      <sheetName val="T2_G1_HLF"/>
      <sheetName val="T4"/>
      <sheetName val="T2_G2"/>
      <sheetName val="T3"/>
      <sheetName val="6. RATES_TEXAS"/>
      <sheetName val="NNS demand"/>
      <sheetName val="NNS commodity"/>
      <sheetName val="FT demand"/>
      <sheetName val="FT commodity"/>
      <sheetName val="Fuel"/>
      <sheetName val="Tex Cash"/>
      <sheetName val="7. RATES_TENN"/>
      <sheetName val="FT GS"/>
      <sheetName val="FT A"/>
      <sheetName val="FT G"/>
      <sheetName val="FT G C"/>
      <sheetName val="S S"/>
      <sheetName val="Fuel_tenn"/>
      <sheetName val="Ten Cash"/>
      <sheetName val="8. EXHIBITS"/>
      <sheetName val="Sheet 4"/>
      <sheetName val="Sheet 5"/>
      <sheetName val="Sheet 6"/>
      <sheetName val="A.1"/>
      <sheetName val="A.2"/>
      <sheetName val="A.3"/>
      <sheetName val="A.4"/>
      <sheetName val="A.5"/>
      <sheetName val="A.6 not use"/>
      <sheetName val="B.1"/>
      <sheetName val="B.2"/>
      <sheetName val="B.3"/>
      <sheetName val="B.4"/>
      <sheetName val="B.5"/>
      <sheetName val="B.6"/>
      <sheetName val="B.7"/>
      <sheetName val="B.8"/>
      <sheetName val="B.9"/>
      <sheetName val="B.10"/>
      <sheetName val="B.11"/>
      <sheetName val="C.12"/>
      <sheetName val="C.13"/>
      <sheetName val="E.1(PBR or Refund)"/>
      <sheetName val="E.1 Certificate"/>
      <sheetName val="E.1 Certificate (2)"/>
      <sheetName val="F.1"/>
      <sheetName val="F.2"/>
      <sheetName val="F.3"/>
      <sheetName val="Source"/>
      <sheetName val="Comp 4"/>
      <sheetName val="Comp 5"/>
      <sheetName val="Comp 6"/>
      <sheetName val="Module1"/>
      <sheetName val="Module2"/>
      <sheetName val="Module3"/>
      <sheetName val="Module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 Contents"/>
      <sheetName val="Directions"/>
      <sheetName val="Report"/>
      <sheetName val="Pipeline Cashout"/>
      <sheetName val="Texas"/>
      <sheetName val="Tenn"/>
      <sheetName val="2005-01 Texas 20"/>
      <sheetName val="2005-01 Tenn 23A"/>
      <sheetName val="Module1"/>
    </sheetNames>
    <sheetDataSet>
      <sheetData sheetId="0"/>
      <sheetData sheetId="1">
        <row r="5">
          <cell r="E5">
            <v>38353</v>
          </cell>
        </row>
      </sheetData>
      <sheetData sheetId="2"/>
      <sheetData sheetId="3">
        <row r="9">
          <cell r="A9">
            <v>34335</v>
          </cell>
          <cell r="B9">
            <v>2.1280000000000001</v>
          </cell>
          <cell r="C9">
            <v>2.1604000000000001</v>
          </cell>
        </row>
        <row r="10">
          <cell r="A10">
            <v>34366</v>
          </cell>
          <cell r="B10">
            <v>2.7789999999999999</v>
          </cell>
          <cell r="C10">
            <v>2.5708000000000002</v>
          </cell>
        </row>
        <row r="11">
          <cell r="A11">
            <v>34394</v>
          </cell>
          <cell r="B11">
            <v>2.331</v>
          </cell>
          <cell r="C11">
            <v>2.1343999999999999</v>
          </cell>
        </row>
        <row r="12">
          <cell r="A12">
            <v>34425</v>
          </cell>
          <cell r="B12">
            <v>1.9930000000000001</v>
          </cell>
          <cell r="C12">
            <v>1.9320999999999999</v>
          </cell>
        </row>
        <row r="13">
          <cell r="A13">
            <v>34455</v>
          </cell>
          <cell r="B13">
            <v>2.0059999999999998</v>
          </cell>
          <cell r="C13">
            <v>1.9036999999999999</v>
          </cell>
        </row>
        <row r="14">
          <cell r="A14">
            <v>34486</v>
          </cell>
          <cell r="B14">
            <v>1.8340000000000001</v>
          </cell>
          <cell r="C14">
            <v>1.8425</v>
          </cell>
        </row>
        <row r="15">
          <cell r="A15">
            <v>34516</v>
          </cell>
          <cell r="B15">
            <v>1.976</v>
          </cell>
          <cell r="C15">
            <v>1.9380999999999999</v>
          </cell>
        </row>
        <row r="16">
          <cell r="A16">
            <v>34547</v>
          </cell>
          <cell r="B16">
            <v>1.734</v>
          </cell>
          <cell r="C16">
            <v>1.6930000000000001</v>
          </cell>
        </row>
        <row r="17">
          <cell r="A17">
            <v>34578</v>
          </cell>
          <cell r="B17">
            <v>1.522</v>
          </cell>
          <cell r="C17">
            <v>1.4821</v>
          </cell>
        </row>
        <row r="18">
          <cell r="A18">
            <v>34608</v>
          </cell>
          <cell r="B18">
            <v>1.4550000000000001</v>
          </cell>
          <cell r="C18">
            <v>1.4267000000000001</v>
          </cell>
        </row>
        <row r="19">
          <cell r="A19">
            <v>34639</v>
          </cell>
          <cell r="B19">
            <v>1.57</v>
          </cell>
          <cell r="C19">
            <v>1.5388999999999999</v>
          </cell>
        </row>
        <row r="20">
          <cell r="A20">
            <v>34669</v>
          </cell>
          <cell r="B20">
            <v>1.6060000000000001</v>
          </cell>
          <cell r="C20">
            <v>1.6152</v>
          </cell>
        </row>
        <row r="21">
          <cell r="A21">
            <v>34700</v>
          </cell>
          <cell r="B21">
            <v>1.6240000000000001</v>
          </cell>
          <cell r="C21">
            <v>1.4823999999999999</v>
          </cell>
        </row>
        <row r="22">
          <cell r="A22">
            <v>34731</v>
          </cell>
          <cell r="B22">
            <v>1.474</v>
          </cell>
          <cell r="C22">
            <v>1.448</v>
          </cell>
        </row>
        <row r="23">
          <cell r="A23">
            <v>34759</v>
          </cell>
          <cell r="B23">
            <v>1.504</v>
          </cell>
          <cell r="C23">
            <v>1.4545999999999999</v>
          </cell>
        </row>
        <row r="24">
          <cell r="A24">
            <v>34790</v>
          </cell>
          <cell r="B24">
            <v>1.536</v>
          </cell>
          <cell r="C24">
            <v>1.4952000000000001</v>
          </cell>
        </row>
        <row r="25">
          <cell r="A25">
            <v>34820</v>
          </cell>
          <cell r="B25">
            <v>1.629</v>
          </cell>
          <cell r="C25">
            <v>1.5949</v>
          </cell>
        </row>
        <row r="26">
          <cell r="A26">
            <v>34851</v>
          </cell>
          <cell r="B26">
            <v>1.64</v>
          </cell>
          <cell r="C26">
            <v>1.6024</v>
          </cell>
        </row>
        <row r="27">
          <cell r="A27">
            <v>34881</v>
          </cell>
          <cell r="B27">
            <v>1.4770000000000001</v>
          </cell>
          <cell r="C27">
            <v>1.4017999999999999</v>
          </cell>
        </row>
        <row r="28">
          <cell r="A28">
            <v>34912</v>
          </cell>
          <cell r="B28">
            <v>1.4259999999999999</v>
          </cell>
          <cell r="C28">
            <v>1.4372</v>
          </cell>
        </row>
        <row r="29">
          <cell r="A29">
            <v>34943</v>
          </cell>
          <cell r="B29">
            <v>1.605</v>
          </cell>
          <cell r="C29">
            <v>1.5750999999999999</v>
          </cell>
        </row>
        <row r="30">
          <cell r="A30">
            <v>34973</v>
          </cell>
          <cell r="B30">
            <v>1.6890000000000001</v>
          </cell>
          <cell r="C30">
            <v>1.6419999999999999</v>
          </cell>
        </row>
        <row r="31">
          <cell r="A31">
            <v>35004</v>
          </cell>
          <cell r="B31">
            <v>1.8169999999999999</v>
          </cell>
          <cell r="C31">
            <v>1.7897000000000001</v>
          </cell>
        </row>
        <row r="32">
          <cell r="A32">
            <v>35034</v>
          </cell>
          <cell r="B32">
            <v>2.2749999999999999</v>
          </cell>
          <cell r="C32">
            <v>2.2010000000000001</v>
          </cell>
        </row>
        <row r="33">
          <cell r="A33">
            <v>35065</v>
          </cell>
          <cell r="B33">
            <v>3.2410000000000001</v>
          </cell>
          <cell r="C33">
            <v>2.6886999999999999</v>
          </cell>
        </row>
        <row r="34">
          <cell r="A34">
            <v>35096</v>
          </cell>
          <cell r="B34">
            <v>3.82</v>
          </cell>
          <cell r="C34">
            <v>3.5771999999999999</v>
          </cell>
        </row>
        <row r="35">
          <cell r="A35">
            <v>35125</v>
          </cell>
          <cell r="B35">
            <v>2.839</v>
          </cell>
          <cell r="C35">
            <v>2.5855000000000001</v>
          </cell>
        </row>
        <row r="36">
          <cell r="A36">
            <v>35156</v>
          </cell>
          <cell r="B36">
            <v>2.536</v>
          </cell>
          <cell r="C36">
            <v>2.3755000000000002</v>
          </cell>
        </row>
        <row r="37">
          <cell r="A37">
            <v>35186</v>
          </cell>
          <cell r="B37">
            <v>2.198</v>
          </cell>
          <cell r="C37">
            <v>2.15</v>
          </cell>
        </row>
        <row r="38">
          <cell r="A38">
            <v>35217</v>
          </cell>
          <cell r="B38">
            <v>2.339</v>
          </cell>
          <cell r="C38">
            <v>2.3054000000000001</v>
          </cell>
        </row>
        <row r="39">
          <cell r="A39">
            <v>35247</v>
          </cell>
          <cell r="B39">
            <v>2.61</v>
          </cell>
          <cell r="C39">
            <v>2.5177</v>
          </cell>
        </row>
        <row r="40">
          <cell r="A40">
            <v>35278</v>
          </cell>
          <cell r="B40">
            <v>2.2570000000000001</v>
          </cell>
          <cell r="C40">
            <v>2.0493000000000001</v>
          </cell>
        </row>
        <row r="41">
          <cell r="A41">
            <v>35309</v>
          </cell>
          <cell r="B41">
            <v>1.8280000000000001</v>
          </cell>
          <cell r="C41">
            <v>1.7801</v>
          </cell>
        </row>
        <row r="42">
          <cell r="A42">
            <v>35339</v>
          </cell>
          <cell r="B42">
            <v>2.0449999999999999</v>
          </cell>
          <cell r="C42">
            <v>2.2141000000000002</v>
          </cell>
        </row>
        <row r="43">
          <cell r="A43">
            <v>35370</v>
          </cell>
          <cell r="B43">
            <v>2.63</v>
          </cell>
          <cell r="C43">
            <v>2.7025000000000001</v>
          </cell>
        </row>
        <row r="44">
          <cell r="A44">
            <v>35400</v>
          </cell>
          <cell r="B44">
            <v>3.355</v>
          </cell>
          <cell r="C44">
            <v>3.6999</v>
          </cell>
        </row>
        <row r="45">
          <cell r="A45">
            <v>35431</v>
          </cell>
          <cell r="B45">
            <v>3.851</v>
          </cell>
          <cell r="C45">
            <v>3.5116000000000001</v>
          </cell>
        </row>
        <row r="46">
          <cell r="A46">
            <v>35462</v>
          </cell>
          <cell r="B46">
            <v>2.669</v>
          </cell>
          <cell r="C46">
            <v>2.3454999999999999</v>
          </cell>
        </row>
        <row r="47">
          <cell r="A47">
            <v>35490</v>
          </cell>
          <cell r="B47">
            <v>1.8540000000000001</v>
          </cell>
          <cell r="C47">
            <v>1.8333999999999999</v>
          </cell>
        </row>
        <row r="48">
          <cell r="A48">
            <v>35521</v>
          </cell>
          <cell r="B48">
            <v>1.893</v>
          </cell>
          <cell r="C48">
            <v>1.9518</v>
          </cell>
        </row>
        <row r="49">
          <cell r="A49">
            <v>35551</v>
          </cell>
          <cell r="B49">
            <v>2.1459999999999999</v>
          </cell>
          <cell r="C49">
            <v>2.1631999999999998</v>
          </cell>
        </row>
        <row r="50">
          <cell r="A50">
            <v>35582</v>
          </cell>
          <cell r="B50">
            <v>2.1930000000000001</v>
          </cell>
          <cell r="C50">
            <v>2.1663000000000001</v>
          </cell>
        </row>
        <row r="51">
          <cell r="A51">
            <v>35612</v>
          </cell>
          <cell r="B51">
            <v>2.1800000000000002</v>
          </cell>
          <cell r="C51">
            <v>2.1326000000000001</v>
          </cell>
        </row>
        <row r="52">
          <cell r="A52">
            <v>35643</v>
          </cell>
          <cell r="B52">
            <v>2.306</v>
          </cell>
          <cell r="C52">
            <v>2.3487</v>
          </cell>
        </row>
        <row r="53">
          <cell r="A53">
            <v>35674</v>
          </cell>
          <cell r="B53">
            <v>2.629</v>
          </cell>
          <cell r="C53">
            <v>2.7269999999999999</v>
          </cell>
        </row>
        <row r="54">
          <cell r="A54">
            <v>35704</v>
          </cell>
          <cell r="B54">
            <v>2.899</v>
          </cell>
          <cell r="C54">
            <v>2.9215</v>
          </cell>
        </row>
        <row r="55">
          <cell r="A55">
            <v>35735</v>
          </cell>
          <cell r="B55">
            <v>3.1789999999999998</v>
          </cell>
          <cell r="C55">
            <v>3.1263000000000001</v>
          </cell>
        </row>
        <row r="56">
          <cell r="A56">
            <v>35765</v>
          </cell>
          <cell r="B56">
            <v>2.3759999999999999</v>
          </cell>
          <cell r="C56">
            <v>2.3241999999999998</v>
          </cell>
        </row>
        <row r="57">
          <cell r="A57">
            <v>35796</v>
          </cell>
          <cell r="B57">
            <v>2.1139999999999999</v>
          </cell>
          <cell r="C57">
            <v>2.0831</v>
          </cell>
        </row>
        <row r="58">
          <cell r="A58">
            <v>35827</v>
          </cell>
          <cell r="B58">
            <v>2.169</v>
          </cell>
          <cell r="C58">
            <v>2.1312000000000002</v>
          </cell>
        </row>
        <row r="59">
          <cell r="A59">
            <v>35855</v>
          </cell>
          <cell r="B59">
            <v>2.2149999999999999</v>
          </cell>
          <cell r="C59">
            <v>2.1817000000000002</v>
          </cell>
        </row>
        <row r="60">
          <cell r="A60">
            <v>35886</v>
          </cell>
          <cell r="B60">
            <v>2.448</v>
          </cell>
          <cell r="C60">
            <v>2.4077999999999999</v>
          </cell>
        </row>
        <row r="61">
          <cell r="A61">
            <v>35916</v>
          </cell>
          <cell r="B61">
            <v>2.19</v>
          </cell>
          <cell r="C61">
            <v>2.1581999999999999</v>
          </cell>
        </row>
        <row r="62">
          <cell r="A62">
            <v>35947</v>
          </cell>
          <cell r="B62">
            <v>2.1320000000000001</v>
          </cell>
          <cell r="C62">
            <v>2.0954000000000002</v>
          </cell>
        </row>
        <row r="63">
          <cell r="A63">
            <v>35977</v>
          </cell>
          <cell r="B63">
            <v>2.2509999999999999</v>
          </cell>
          <cell r="C63">
            <v>2.2130999999999998</v>
          </cell>
        </row>
        <row r="64">
          <cell r="A64">
            <v>36008</v>
          </cell>
          <cell r="B64">
            <v>1.883</v>
          </cell>
          <cell r="C64">
            <v>1.8603000000000001</v>
          </cell>
        </row>
        <row r="65">
          <cell r="A65">
            <v>36039</v>
          </cell>
          <cell r="B65">
            <v>1.919</v>
          </cell>
          <cell r="C65">
            <v>1.8957999999999999</v>
          </cell>
        </row>
        <row r="66">
          <cell r="A66">
            <v>36069</v>
          </cell>
          <cell r="B66">
            <v>1.9590000000000001</v>
          </cell>
          <cell r="C66">
            <v>1.9327000000000001</v>
          </cell>
        </row>
        <row r="67">
          <cell r="A67">
            <v>36100</v>
          </cell>
          <cell r="B67">
            <v>2.0680000000000001</v>
          </cell>
          <cell r="C67">
            <v>2.0371000000000001</v>
          </cell>
        </row>
        <row r="68">
          <cell r="A68">
            <v>36130</v>
          </cell>
          <cell r="B68">
            <v>1.7330000000000001</v>
          </cell>
          <cell r="C68">
            <v>1.7156</v>
          </cell>
        </row>
        <row r="69">
          <cell r="A69">
            <v>36161</v>
          </cell>
          <cell r="B69">
            <v>1.855</v>
          </cell>
          <cell r="C69">
            <v>1.8351999999999999</v>
          </cell>
        </row>
        <row r="70">
          <cell r="A70">
            <v>36192</v>
          </cell>
          <cell r="B70">
            <v>1.7749999999999999</v>
          </cell>
          <cell r="C70">
            <v>1.7495000000000001</v>
          </cell>
        </row>
        <row r="71">
          <cell r="A71">
            <v>36220</v>
          </cell>
          <cell r="B71">
            <v>1.754</v>
          </cell>
          <cell r="C71">
            <v>1.7282999999999999</v>
          </cell>
        </row>
        <row r="72">
          <cell r="A72">
            <v>36251</v>
          </cell>
          <cell r="B72">
            <v>2.0430000000000001</v>
          </cell>
          <cell r="C72">
            <v>2.0179999999999998</v>
          </cell>
        </row>
        <row r="73">
          <cell r="A73">
            <v>36281</v>
          </cell>
          <cell r="B73">
            <v>2.2589999999999999</v>
          </cell>
          <cell r="C73">
            <v>2.2298</v>
          </cell>
        </row>
        <row r="74">
          <cell r="A74">
            <v>36312</v>
          </cell>
          <cell r="B74">
            <v>2.2789999999999999</v>
          </cell>
          <cell r="C74">
            <v>2.2530999999999999</v>
          </cell>
        </row>
        <row r="75">
          <cell r="A75">
            <v>36342</v>
          </cell>
          <cell r="B75">
            <v>2.2210000000000001</v>
          </cell>
          <cell r="C75">
            <v>2.2006999999999999</v>
          </cell>
        </row>
        <row r="76">
          <cell r="A76">
            <v>36373</v>
          </cell>
          <cell r="B76">
            <v>2.738</v>
          </cell>
          <cell r="C76">
            <v>2.7161</v>
          </cell>
        </row>
        <row r="77">
          <cell r="A77">
            <v>36404</v>
          </cell>
          <cell r="B77">
            <v>2.605</v>
          </cell>
          <cell r="C77">
            <v>2.5716000000000001</v>
          </cell>
        </row>
        <row r="78">
          <cell r="A78">
            <v>36434</v>
          </cell>
          <cell r="B78">
            <v>2.625</v>
          </cell>
          <cell r="C78">
            <v>2.6019000000000001</v>
          </cell>
        </row>
        <row r="79">
          <cell r="A79">
            <v>36465</v>
          </cell>
          <cell r="B79">
            <v>2.4700000000000002</v>
          </cell>
          <cell r="C79">
            <v>2.4413</v>
          </cell>
        </row>
        <row r="80">
          <cell r="A80">
            <v>36495</v>
          </cell>
          <cell r="B80">
            <v>2.3450000000000002</v>
          </cell>
          <cell r="C80">
            <v>2.3149999999999999</v>
          </cell>
        </row>
        <row r="81">
          <cell r="A81">
            <v>36526</v>
          </cell>
          <cell r="B81">
            <v>2.375</v>
          </cell>
          <cell r="C81">
            <v>2.3475000000000001</v>
          </cell>
        </row>
        <row r="82">
          <cell r="A82">
            <v>36557</v>
          </cell>
          <cell r="B82">
            <v>2.6389999999999998</v>
          </cell>
          <cell r="C82">
            <v>2.6040999999999999</v>
          </cell>
        </row>
        <row r="83">
          <cell r="A83">
            <v>36586</v>
          </cell>
          <cell r="B83">
            <v>2.7389999999999999</v>
          </cell>
          <cell r="C83">
            <v>2.7080000000000002</v>
          </cell>
        </row>
        <row r="84">
          <cell r="A84">
            <v>36617</v>
          </cell>
          <cell r="B84">
            <v>2.9849999999999999</v>
          </cell>
          <cell r="C84">
            <v>2.9456000000000002</v>
          </cell>
        </row>
        <row r="85">
          <cell r="A85">
            <v>36647</v>
          </cell>
          <cell r="B85">
            <v>3.411</v>
          </cell>
          <cell r="C85">
            <v>3.3708</v>
          </cell>
        </row>
        <row r="86">
          <cell r="A86">
            <v>36678</v>
          </cell>
          <cell r="B86">
            <v>4.2709999999999999</v>
          </cell>
          <cell r="C86">
            <v>4.2159000000000004</v>
          </cell>
        </row>
        <row r="87">
          <cell r="A87">
            <v>36708</v>
          </cell>
          <cell r="B87">
            <v>4.0659999999999998</v>
          </cell>
          <cell r="C87">
            <v>4.0281000000000002</v>
          </cell>
        </row>
        <row r="88">
          <cell r="A88">
            <v>36739</v>
          </cell>
          <cell r="B88">
            <v>4.3289999999999997</v>
          </cell>
          <cell r="C88">
            <v>4.282</v>
          </cell>
        </row>
        <row r="89">
          <cell r="A89">
            <v>36770</v>
          </cell>
          <cell r="B89">
            <v>4.9189999999999996</v>
          </cell>
          <cell r="C89">
            <v>4.8779000000000003</v>
          </cell>
        </row>
        <row r="90">
          <cell r="A90">
            <v>36800</v>
          </cell>
          <cell r="B90">
            <v>5.101</v>
          </cell>
          <cell r="C90">
            <v>5.0475000000000003</v>
          </cell>
        </row>
        <row r="91">
          <cell r="A91">
            <v>36831</v>
          </cell>
          <cell r="B91">
            <v>5.3540000000000001</v>
          </cell>
          <cell r="C91">
            <v>5.2946</v>
          </cell>
        </row>
        <row r="92">
          <cell r="A92">
            <v>36861</v>
          </cell>
          <cell r="B92">
            <v>8.0909999999999993</v>
          </cell>
          <cell r="C92">
            <v>8.0318000000000005</v>
          </cell>
        </row>
        <row r="93">
          <cell r="A93">
            <v>36892</v>
          </cell>
          <cell r="B93">
            <v>8.8379999999999992</v>
          </cell>
          <cell r="C93">
            <v>8.6751000000000005</v>
          </cell>
        </row>
        <row r="94">
          <cell r="A94">
            <v>36923</v>
          </cell>
          <cell r="B94">
            <v>5.6980000000000004</v>
          </cell>
          <cell r="C94">
            <v>5.5682999999999998</v>
          </cell>
        </row>
        <row r="95">
          <cell r="A95">
            <v>36951</v>
          </cell>
          <cell r="B95">
            <v>5.1150000000000002</v>
          </cell>
          <cell r="C95">
            <v>5.0426000000000002</v>
          </cell>
        </row>
        <row r="96">
          <cell r="A96">
            <v>36982</v>
          </cell>
          <cell r="B96">
            <v>5.24</v>
          </cell>
          <cell r="C96">
            <v>5.1776</v>
          </cell>
        </row>
        <row r="97">
          <cell r="A97">
            <v>37012</v>
          </cell>
          <cell r="B97">
            <v>4.2759999999999998</v>
          </cell>
          <cell r="C97">
            <v>4.2365000000000004</v>
          </cell>
        </row>
        <row r="98">
          <cell r="A98">
            <v>37043</v>
          </cell>
          <cell r="B98">
            <v>3.835</v>
          </cell>
          <cell r="C98">
            <v>3.7776999999999998</v>
          </cell>
        </row>
        <row r="99">
          <cell r="A99">
            <v>37073</v>
          </cell>
          <cell r="B99">
            <v>3.1309999999999998</v>
          </cell>
          <cell r="C99">
            <v>3.0878000000000001</v>
          </cell>
        </row>
        <row r="100">
          <cell r="A100">
            <v>37104</v>
          </cell>
          <cell r="B100">
            <v>3.11</v>
          </cell>
          <cell r="C100">
            <v>3.0716000000000001</v>
          </cell>
        </row>
        <row r="101">
          <cell r="A101">
            <v>37135</v>
          </cell>
          <cell r="B101">
            <v>2.2989999999999999</v>
          </cell>
          <cell r="C101">
            <v>2.2692000000000001</v>
          </cell>
        </row>
        <row r="102">
          <cell r="A102">
            <v>37165</v>
          </cell>
          <cell r="B102">
            <v>2.4020000000000001</v>
          </cell>
          <cell r="C102">
            <v>2.2201</v>
          </cell>
        </row>
        <row r="103">
          <cell r="A103">
            <v>37196</v>
          </cell>
          <cell r="B103">
            <v>2.411</v>
          </cell>
          <cell r="C103">
            <v>2.4853000000000001</v>
          </cell>
        </row>
        <row r="104">
          <cell r="A104">
            <v>37226</v>
          </cell>
          <cell r="B104">
            <v>2.387</v>
          </cell>
          <cell r="C104">
            <v>2.3001</v>
          </cell>
        </row>
        <row r="105">
          <cell r="A105">
            <v>37257</v>
          </cell>
          <cell r="B105">
            <v>2.274</v>
          </cell>
          <cell r="C105">
            <v>2.3105000000000002</v>
          </cell>
        </row>
        <row r="106">
          <cell r="A106">
            <v>37288</v>
          </cell>
          <cell r="B106">
            <v>2.2690000000000001</v>
          </cell>
          <cell r="C106">
            <v>2.1848999999999998</v>
          </cell>
        </row>
        <row r="107">
          <cell r="A107">
            <v>37316</v>
          </cell>
          <cell r="B107">
            <v>2.9329999999999998</v>
          </cell>
          <cell r="C107">
            <v>2.7780999999999998</v>
          </cell>
        </row>
        <row r="108">
          <cell r="A108">
            <v>37347</v>
          </cell>
          <cell r="B108">
            <v>3.448</v>
          </cell>
          <cell r="C108">
            <v>3.3567999999999998</v>
          </cell>
        </row>
        <row r="109">
          <cell r="A109">
            <v>37377</v>
          </cell>
          <cell r="B109">
            <v>3.4830000000000001</v>
          </cell>
          <cell r="C109">
            <v>3.4817999999999998</v>
          </cell>
        </row>
        <row r="110">
          <cell r="A110">
            <v>37408</v>
          </cell>
          <cell r="B110">
            <v>3.23</v>
          </cell>
          <cell r="C110">
            <v>3.1686000000000001</v>
          </cell>
        </row>
        <row r="111">
          <cell r="A111">
            <v>37438</v>
          </cell>
          <cell r="B111">
            <v>3.05</v>
          </cell>
          <cell r="C111">
            <v>3.0398999999999998</v>
          </cell>
        </row>
        <row r="112">
          <cell r="A112">
            <v>37469</v>
          </cell>
          <cell r="B112">
            <v>3.07</v>
          </cell>
          <cell r="C112">
            <v>2.9883000000000002</v>
          </cell>
        </row>
        <row r="113">
          <cell r="A113">
            <v>37500</v>
          </cell>
          <cell r="B113">
            <v>3.4910000000000001</v>
          </cell>
          <cell r="C113">
            <v>3.4297</v>
          </cell>
        </row>
        <row r="114">
          <cell r="A114">
            <v>37530</v>
          </cell>
          <cell r="B114">
            <v>4.0830000000000002</v>
          </cell>
          <cell r="C114">
            <v>4.0129000000000001</v>
          </cell>
        </row>
        <row r="115">
          <cell r="A115">
            <v>37561</v>
          </cell>
          <cell r="B115">
            <v>4.0709999999999997</v>
          </cell>
          <cell r="C115">
            <v>3.9729999999999999</v>
          </cell>
        </row>
        <row r="116">
          <cell r="A116">
            <v>37591</v>
          </cell>
          <cell r="B116">
            <v>4.6379999999999999</v>
          </cell>
          <cell r="C116">
            <v>4.5190999999999999</v>
          </cell>
        </row>
        <row r="117">
          <cell r="A117">
            <v>37622</v>
          </cell>
          <cell r="B117">
            <v>5.3529999999999998</v>
          </cell>
          <cell r="C117">
            <v>5.1736000000000004</v>
          </cell>
        </row>
        <row r="118">
          <cell r="A118">
            <v>37653</v>
          </cell>
          <cell r="B118">
            <v>7.2919999999999998</v>
          </cell>
          <cell r="C118">
            <v>5.9678000000000004</v>
          </cell>
        </row>
        <row r="119">
          <cell r="A119">
            <v>37681</v>
          </cell>
          <cell r="B119">
            <v>6.8330000000000002</v>
          </cell>
          <cell r="C119">
            <v>7.0857999999999999</v>
          </cell>
        </row>
        <row r="120">
          <cell r="A120">
            <v>37712</v>
          </cell>
          <cell r="B120">
            <v>5.2460000000000004</v>
          </cell>
          <cell r="C120">
            <v>5.1413000000000002</v>
          </cell>
        </row>
        <row r="121">
          <cell r="A121">
            <v>37742</v>
          </cell>
          <cell r="B121">
            <v>5.6470000000000002</v>
          </cell>
          <cell r="C121">
            <v>5.5896999999999997</v>
          </cell>
        </row>
        <row r="122">
          <cell r="A122">
            <v>37773</v>
          </cell>
          <cell r="B122">
            <v>5.16</v>
          </cell>
          <cell r="C122">
            <v>5.7409999999999997</v>
          </cell>
        </row>
        <row r="123">
          <cell r="A123">
            <v>37803</v>
          </cell>
          <cell r="B123">
            <v>5.0190000000000001</v>
          </cell>
          <cell r="C123">
            <v>5.0663999999999998</v>
          </cell>
        </row>
        <row r="124">
          <cell r="A124">
            <v>37834</v>
          </cell>
          <cell r="B124">
            <v>4.8330000000000002</v>
          </cell>
          <cell r="C124">
            <v>4.8818999999999999</v>
          </cell>
        </row>
        <row r="125">
          <cell r="A125">
            <v>37865</v>
          </cell>
          <cell r="B125">
            <v>4.5819999999999999</v>
          </cell>
          <cell r="C125">
            <v>4.6372999999999998</v>
          </cell>
        </row>
        <row r="126">
          <cell r="A126">
            <v>37895</v>
          </cell>
          <cell r="B126">
            <v>4.6130000000000004</v>
          </cell>
          <cell r="C126">
            <v>4.6317000000000004</v>
          </cell>
        </row>
        <row r="127">
          <cell r="A127">
            <v>37926</v>
          </cell>
          <cell r="B127">
            <v>4.4539999999999997</v>
          </cell>
          <cell r="C127">
            <v>4.3653000000000004</v>
          </cell>
        </row>
        <row r="128">
          <cell r="A128">
            <v>37956</v>
          </cell>
          <cell r="B128">
            <v>5.7830000000000004</v>
          </cell>
          <cell r="C128">
            <v>5.8990999999999998</v>
          </cell>
        </row>
        <row r="129">
          <cell r="A129">
            <v>37987</v>
          </cell>
          <cell r="B129">
            <v>6.0380000000000003</v>
          </cell>
          <cell r="C129">
            <v>5.8994999999999997</v>
          </cell>
        </row>
        <row r="130">
          <cell r="A130">
            <v>38018</v>
          </cell>
          <cell r="B130">
            <v>5.4539999999999997</v>
          </cell>
          <cell r="C130">
            <v>5.3875999999999999</v>
          </cell>
        </row>
        <row r="131">
          <cell r="A131">
            <v>38047</v>
          </cell>
          <cell r="B131">
            <v>5.34</v>
          </cell>
          <cell r="C131">
            <v>5.2321</v>
          </cell>
        </row>
        <row r="132">
          <cell r="A132">
            <v>38078</v>
          </cell>
          <cell r="B132">
            <v>5.6509999999999998</v>
          </cell>
          <cell r="C132">
            <v>5.5583</v>
          </cell>
        </row>
        <row r="133">
          <cell r="A133">
            <v>38108</v>
          </cell>
          <cell r="B133">
            <v>6.218</v>
          </cell>
          <cell r="C133">
            <v>6.1281999999999996</v>
          </cell>
        </row>
        <row r="134">
          <cell r="A134">
            <v>38139</v>
          </cell>
          <cell r="B134">
            <v>6.2080000000000002</v>
          </cell>
          <cell r="C134">
            <v>6.2229000000000001</v>
          </cell>
        </row>
        <row r="135">
          <cell r="A135">
            <v>38169</v>
          </cell>
          <cell r="B135">
            <v>5.915</v>
          </cell>
          <cell r="C135">
            <v>5.87</v>
          </cell>
        </row>
        <row r="136">
          <cell r="A136">
            <v>38200</v>
          </cell>
          <cell r="B136">
            <v>5.34</v>
          </cell>
          <cell r="C136">
            <v>5.5342000000000002</v>
          </cell>
        </row>
        <row r="137">
          <cell r="A137">
            <v>38231</v>
          </cell>
          <cell r="B137">
            <v>5.0149999999999997</v>
          </cell>
          <cell r="C137">
            <v>4.8259999999999996</v>
          </cell>
        </row>
        <row r="138">
          <cell r="A138">
            <v>38261</v>
          </cell>
          <cell r="B138">
            <v>6.14</v>
          </cell>
          <cell r="C138">
            <v>5.7835000000000001</v>
          </cell>
        </row>
        <row r="139">
          <cell r="A139">
            <v>38292</v>
          </cell>
          <cell r="B139">
            <v>6.1580000000000004</v>
          </cell>
          <cell r="C139">
            <v>6.0369000000000002</v>
          </cell>
        </row>
        <row r="140">
          <cell r="A140">
            <v>38322</v>
          </cell>
          <cell r="B140">
            <v>6.5860000000000003</v>
          </cell>
          <cell r="C140">
            <v>6.5636000000000001</v>
          </cell>
        </row>
      </sheetData>
      <sheetData sheetId="4">
        <row r="7">
          <cell r="A7">
            <v>34335</v>
          </cell>
          <cell r="C7">
            <v>5.5199999999999999E-2</v>
          </cell>
          <cell r="D7">
            <v>6.0400000000000002E-2</v>
          </cell>
          <cell r="E7">
            <v>6.4399999999999999E-2</v>
          </cell>
        </row>
        <row r="8">
          <cell r="A8">
            <v>34455</v>
          </cell>
          <cell r="C8">
            <v>4.48E-2</v>
          </cell>
          <cell r="D8">
            <v>4.9099999999999998E-2</v>
          </cell>
          <cell r="E8">
            <v>5.2900000000000003E-2</v>
          </cell>
        </row>
        <row r="9">
          <cell r="A9">
            <v>34578</v>
          </cell>
          <cell r="C9">
            <v>4.3099999999999999E-2</v>
          </cell>
          <cell r="D9">
            <v>4.7399999999999998E-2</v>
          </cell>
          <cell r="E9">
            <v>5.1200000000000002E-2</v>
          </cell>
        </row>
        <row r="10">
          <cell r="A10">
            <v>34608</v>
          </cell>
          <cell r="C10">
            <v>4.2799999999999998E-2</v>
          </cell>
          <cell r="D10">
            <v>4.7100000000000003E-2</v>
          </cell>
          <cell r="E10">
            <v>5.0900000000000001E-2</v>
          </cell>
        </row>
        <row r="11">
          <cell r="A11">
            <v>34639</v>
          </cell>
          <cell r="C11">
            <v>4.02E-2</v>
          </cell>
          <cell r="D11">
            <v>4.4400000000000002E-2</v>
          </cell>
          <cell r="E11">
            <v>4.7600000000000003E-2</v>
          </cell>
        </row>
        <row r="12">
          <cell r="A12">
            <v>34700</v>
          </cell>
          <cell r="C12">
            <v>4.41E-2</v>
          </cell>
          <cell r="D12">
            <v>4.8300000000000003E-2</v>
          </cell>
          <cell r="E12">
            <v>5.1499999999999997E-2</v>
          </cell>
        </row>
        <row r="13">
          <cell r="A13">
            <v>34790</v>
          </cell>
          <cell r="C13">
            <v>4.1000000000000002E-2</v>
          </cell>
          <cell r="D13">
            <v>4.6199999999999998E-2</v>
          </cell>
          <cell r="E13">
            <v>5.0500000000000003E-2</v>
          </cell>
        </row>
        <row r="14">
          <cell r="A14">
            <v>35004</v>
          </cell>
          <cell r="C14">
            <v>4.0899999999999999E-2</v>
          </cell>
          <cell r="D14">
            <v>4.6100000000000002E-2</v>
          </cell>
          <cell r="E14">
            <v>5.04E-2</v>
          </cell>
        </row>
        <row r="15">
          <cell r="A15">
            <v>35034</v>
          </cell>
          <cell r="C15">
            <v>4.02E-2</v>
          </cell>
          <cell r="D15">
            <v>4.4200000000000003E-2</v>
          </cell>
          <cell r="E15">
            <v>4.8300000000000003E-2</v>
          </cell>
        </row>
        <row r="16">
          <cell r="A16">
            <v>35065</v>
          </cell>
          <cell r="C16">
            <v>4.0500000000000001E-2</v>
          </cell>
          <cell r="D16">
            <v>4.4499999999999998E-2</v>
          </cell>
          <cell r="E16">
            <v>4.8599999999999997E-2</v>
          </cell>
        </row>
        <row r="17">
          <cell r="A17">
            <v>35125</v>
          </cell>
          <cell r="B17" t="str">
            <v>Fifteenth</v>
          </cell>
          <cell r="C17">
            <v>3.1199999999999999E-2</v>
          </cell>
          <cell r="D17">
            <v>3.5200000000000002E-2</v>
          </cell>
          <cell r="E17">
            <v>3.9300000000000002E-2</v>
          </cell>
        </row>
        <row r="18">
          <cell r="A18">
            <v>35247</v>
          </cell>
          <cell r="B18" t="str">
            <v>Sixteenth</v>
          </cell>
          <cell r="C18">
            <v>3.1199999999999999E-2</v>
          </cell>
          <cell r="D18">
            <v>3.5200000000000002E-2</v>
          </cell>
          <cell r="E18">
            <v>3.9300000000000002E-2</v>
          </cell>
        </row>
        <row r="19">
          <cell r="A19">
            <v>35309</v>
          </cell>
          <cell r="B19" t="str">
            <v>Seventeenth</v>
          </cell>
          <cell r="C19">
            <v>2.8299999999999999E-2</v>
          </cell>
          <cell r="D19">
            <v>3.2300000000000002E-2</v>
          </cell>
          <cell r="E19">
            <v>3.6400000000000002E-2</v>
          </cell>
        </row>
        <row r="20">
          <cell r="A20">
            <v>35339</v>
          </cell>
          <cell r="B20" t="str">
            <v>Eighteenth</v>
          </cell>
          <cell r="C20">
            <v>2.8000000000000001E-2</v>
          </cell>
          <cell r="D20">
            <v>3.2000000000000001E-2</v>
          </cell>
          <cell r="E20">
            <v>3.61E-2</v>
          </cell>
        </row>
        <row r="21">
          <cell r="A21">
            <v>35462</v>
          </cell>
          <cell r="B21" t="str">
            <v>Nineteenth</v>
          </cell>
          <cell r="C21">
            <v>2.8000000000000001E-2</v>
          </cell>
          <cell r="D21">
            <v>3.2000000000000001E-2</v>
          </cell>
          <cell r="E21">
            <v>3.61E-2</v>
          </cell>
        </row>
        <row r="22">
          <cell r="A22">
            <v>35490</v>
          </cell>
          <cell r="B22" t="str">
            <v>Twentieth</v>
          </cell>
          <cell r="C22">
            <v>3.3399999999999999E-2</v>
          </cell>
          <cell r="D22">
            <v>3.7400000000000003E-2</v>
          </cell>
          <cell r="E22">
            <v>4.1500000000000002E-2</v>
          </cell>
        </row>
        <row r="23">
          <cell r="A23">
            <v>35612</v>
          </cell>
          <cell r="B23" t="str">
            <v>Twenty-first</v>
          </cell>
          <cell r="C23">
            <v>3.3399999999999999E-2</v>
          </cell>
          <cell r="D23">
            <v>3.7400000000000003E-2</v>
          </cell>
          <cell r="E23">
            <v>4.1500000000000002E-2</v>
          </cell>
        </row>
        <row r="24">
          <cell r="A24">
            <v>35674</v>
          </cell>
          <cell r="B24" t="str">
            <v>Twenty-second</v>
          </cell>
          <cell r="C24">
            <v>3.7999999999999999E-2</v>
          </cell>
          <cell r="D24">
            <v>4.41E-2</v>
          </cell>
          <cell r="E24">
            <v>5.0999999999999997E-2</v>
          </cell>
        </row>
        <row r="25">
          <cell r="A25">
            <v>35735</v>
          </cell>
          <cell r="B25" t="str">
            <v>Sub Twenty-second</v>
          </cell>
          <cell r="C25">
            <v>3.7999999999999999E-2</v>
          </cell>
          <cell r="D25">
            <v>4.41E-2</v>
          </cell>
          <cell r="E25">
            <v>5.0999999999999997E-2</v>
          </cell>
        </row>
        <row r="26">
          <cell r="A26">
            <v>35765</v>
          </cell>
          <cell r="B26" t="str">
            <v>Twenty-third</v>
          </cell>
          <cell r="C26">
            <v>3.8399999999999997E-2</v>
          </cell>
          <cell r="D26">
            <v>4.4499999999999998E-2</v>
          </cell>
          <cell r="E26">
            <v>5.1299999999999998E-2</v>
          </cell>
        </row>
        <row r="27">
          <cell r="A27">
            <v>35827</v>
          </cell>
          <cell r="B27" t="str">
            <v>Twenty-fourth</v>
          </cell>
          <cell r="C27">
            <v>3.8399999999999997E-2</v>
          </cell>
          <cell r="D27">
            <v>4.4499999999999998E-2</v>
          </cell>
          <cell r="E27">
            <v>5.1299999999999998E-2</v>
          </cell>
        </row>
        <row r="28">
          <cell r="A28">
            <v>35977</v>
          </cell>
          <cell r="B28" t="str">
            <v>Twenty-seventh</v>
          </cell>
          <cell r="C28">
            <v>3.4500000000000003E-2</v>
          </cell>
          <cell r="D28">
            <v>3.9199999999999999E-2</v>
          </cell>
          <cell r="E28">
            <v>4.4299999999999999E-2</v>
          </cell>
        </row>
        <row r="29">
          <cell r="A29">
            <v>36192</v>
          </cell>
          <cell r="B29" t="str">
            <v>Thirtieth</v>
          </cell>
          <cell r="C29">
            <v>3.6499999999999998E-2</v>
          </cell>
          <cell r="D29">
            <v>4.1200000000000001E-2</v>
          </cell>
          <cell r="E29">
            <v>4.6300000000000001E-2</v>
          </cell>
        </row>
        <row r="30">
          <cell r="A30">
            <v>36831</v>
          </cell>
          <cell r="B30" t="str">
            <v>Thirty-first</v>
          </cell>
          <cell r="C30">
            <v>3.5299999999999998E-2</v>
          </cell>
          <cell r="D30">
            <v>0.04</v>
          </cell>
          <cell r="E30">
            <v>4.5100000000000001E-2</v>
          </cell>
        </row>
        <row r="31">
          <cell r="A31">
            <v>36923</v>
          </cell>
          <cell r="B31" t="str">
            <v>Thirty-fourth</v>
          </cell>
          <cell r="C31">
            <v>3.5200000000000002E-2</v>
          </cell>
          <cell r="D31">
            <v>3.4700000000000002E-2</v>
          </cell>
          <cell r="E31">
            <v>4.07E-2</v>
          </cell>
        </row>
        <row r="32">
          <cell r="A32">
            <v>37012</v>
          </cell>
          <cell r="B32" t="str">
            <v>Thirty-seventh</v>
          </cell>
          <cell r="C32">
            <v>3.5000000000000003E-2</v>
          </cell>
          <cell r="D32">
            <v>3.4500000000000003E-2</v>
          </cell>
          <cell r="E32">
            <v>4.0500000000000001E-2</v>
          </cell>
        </row>
        <row r="33">
          <cell r="A33">
            <v>37165</v>
          </cell>
          <cell r="B33" t="str">
            <v>Thirty-eighth</v>
          </cell>
          <cell r="C33">
            <v>3.49E-2</v>
          </cell>
          <cell r="D33">
            <v>3.44E-2</v>
          </cell>
          <cell r="E33">
            <v>4.0399999999999998E-2</v>
          </cell>
        </row>
        <row r="34">
          <cell r="A34">
            <v>37561</v>
          </cell>
          <cell r="B34" t="str">
            <v>Fortieth</v>
          </cell>
          <cell r="C34">
            <v>4.6899999999999997E-2</v>
          </cell>
          <cell r="D34">
            <v>5.7000000000000002E-2</v>
          </cell>
          <cell r="E34">
            <v>6.4600000000000005E-2</v>
          </cell>
        </row>
        <row r="35">
          <cell r="A35">
            <v>37834</v>
          </cell>
          <cell r="B35" t="str">
            <v>First</v>
          </cell>
          <cell r="C35">
            <v>4.53E-2</v>
          </cell>
          <cell r="D35">
            <v>5.5399999999999998E-2</v>
          </cell>
          <cell r="E35">
            <v>6.3E-2</v>
          </cell>
        </row>
        <row r="36">
          <cell r="A36">
            <v>38292</v>
          </cell>
          <cell r="B36" t="str">
            <v>Second</v>
          </cell>
          <cell r="C36">
            <v>4.1300000000000003E-2</v>
          </cell>
          <cell r="D36">
            <v>5.1400000000000001E-2</v>
          </cell>
          <cell r="E36">
            <v>5.8999999999999997E-2</v>
          </cell>
        </row>
        <row r="37">
          <cell r="A37">
            <v>38322</v>
          </cell>
          <cell r="B37" t="str">
            <v>Third</v>
          </cell>
          <cell r="C37">
            <v>4.1099999999999998E-2</v>
          </cell>
          <cell r="D37">
            <v>5.1200000000000002E-2</v>
          </cell>
          <cell r="E37">
            <v>5.8799999999999998E-2</v>
          </cell>
        </row>
      </sheetData>
      <sheetData sheetId="5">
        <row r="8">
          <cell r="A8">
            <v>34973</v>
          </cell>
          <cell r="B8">
            <v>1.6199999999999999E-2</v>
          </cell>
          <cell r="C8">
            <v>2.2000000000000001E-3</v>
          </cell>
          <cell r="D8">
            <v>0.02</v>
          </cell>
          <cell r="E8">
            <v>3.1E-2</v>
          </cell>
          <cell r="F8">
            <v>6.9400000000000003E-2</v>
          </cell>
        </row>
        <row r="9">
          <cell r="A9">
            <v>35004</v>
          </cell>
          <cell r="B9">
            <v>1.6199999999999999E-2</v>
          </cell>
          <cell r="C9">
            <v>2.2000000000000001E-3</v>
          </cell>
          <cell r="D9">
            <v>0.02</v>
          </cell>
          <cell r="E9">
            <v>0</v>
          </cell>
          <cell r="F9">
            <v>3.8400000000000004E-2</v>
          </cell>
        </row>
        <row r="10">
          <cell r="A10">
            <v>35096</v>
          </cell>
          <cell r="B10">
            <v>1.6199999999999999E-2</v>
          </cell>
          <cell r="C10">
            <v>2.2000000000000001E-3</v>
          </cell>
          <cell r="D10">
            <v>0.02</v>
          </cell>
          <cell r="E10">
            <v>0</v>
          </cell>
          <cell r="F10">
            <v>3.8400000000000004E-2</v>
          </cell>
        </row>
        <row r="11">
          <cell r="A11">
            <v>35339</v>
          </cell>
          <cell r="B11">
            <v>1.6199999999999999E-2</v>
          </cell>
          <cell r="C11">
            <v>1.9E-3</v>
          </cell>
          <cell r="D11">
            <v>8.8000000000000005E-3</v>
          </cell>
          <cell r="E11">
            <v>0</v>
          </cell>
          <cell r="F11">
            <v>2.69E-2</v>
          </cell>
        </row>
        <row r="12">
          <cell r="A12">
            <v>35490</v>
          </cell>
          <cell r="B12">
            <v>1.61E-2</v>
          </cell>
          <cell r="C12">
            <v>1.9E-3</v>
          </cell>
          <cell r="D12">
            <v>8.8000000000000005E-3</v>
          </cell>
          <cell r="E12">
            <v>0</v>
          </cell>
          <cell r="F12">
            <v>2.6799999999999997E-2</v>
          </cell>
        </row>
        <row r="13">
          <cell r="A13">
            <v>35704</v>
          </cell>
          <cell r="B13">
            <v>1.61E-2</v>
          </cell>
          <cell r="C13">
            <v>2.2000000000000001E-3</v>
          </cell>
          <cell r="D13">
            <v>8.8000000000000005E-3</v>
          </cell>
          <cell r="E13">
            <v>0</v>
          </cell>
          <cell r="F13">
            <v>2.7099999999999999E-2</v>
          </cell>
        </row>
        <row r="14">
          <cell r="A14">
            <v>36281</v>
          </cell>
          <cell r="B14">
            <v>1.61E-2</v>
          </cell>
          <cell r="C14">
            <v>2.2000000000000001E-3</v>
          </cell>
          <cell r="D14">
            <v>7.4999999999999997E-3</v>
          </cell>
          <cell r="E14">
            <v>0</v>
          </cell>
          <cell r="F14">
            <v>2.58E-2</v>
          </cell>
        </row>
        <row r="15">
          <cell r="A15">
            <v>36831</v>
          </cell>
          <cell r="B15">
            <v>1.61E-2</v>
          </cell>
          <cell r="C15">
            <v>2.2000000000000001E-3</v>
          </cell>
          <cell r="D15">
            <v>7.1999999999999998E-3</v>
          </cell>
          <cell r="E15">
            <v>0</v>
          </cell>
          <cell r="F15">
            <v>2.5500000000000002E-2</v>
          </cell>
        </row>
        <row r="16">
          <cell r="A16">
            <v>37043</v>
          </cell>
          <cell r="B16">
            <v>1.61E-2</v>
          </cell>
          <cell r="C16">
            <v>2.2000000000000001E-3</v>
          </cell>
          <cell r="D16">
            <v>7.0000000000000001E-3</v>
          </cell>
          <cell r="E16">
            <v>0</v>
          </cell>
          <cell r="F16">
            <v>2.53E-2</v>
          </cell>
        </row>
        <row r="17">
          <cell r="A17">
            <v>37165</v>
          </cell>
          <cell r="B17">
            <v>1.61E-2</v>
          </cell>
          <cell r="C17">
            <v>2.0999999999999999E-3</v>
          </cell>
          <cell r="D17">
            <v>7.0000000000000001E-3</v>
          </cell>
          <cell r="E17">
            <v>0</v>
          </cell>
          <cell r="F17">
            <v>2.52E-2</v>
          </cell>
        </row>
        <row r="18">
          <cell r="A18">
            <v>37561</v>
          </cell>
          <cell r="B18">
            <v>1.61E-2</v>
          </cell>
          <cell r="C18">
            <v>2.0999999999999999E-3</v>
          </cell>
          <cell r="D18">
            <v>5.4999999999999997E-3</v>
          </cell>
          <cell r="E18">
            <v>0</v>
          </cell>
          <cell r="F18">
            <v>2.3699999999999999E-2</v>
          </cell>
        </row>
        <row r="19">
          <cell r="A19">
            <v>37834</v>
          </cell>
          <cell r="B19">
            <v>1.61E-2</v>
          </cell>
          <cell r="C19">
            <v>2.0999999999999999E-3</v>
          </cell>
          <cell r="D19">
            <v>4.0000000000000001E-3</v>
          </cell>
          <cell r="E19">
            <v>0</v>
          </cell>
          <cell r="F19">
            <v>2.2200000000000001E-2</v>
          </cell>
        </row>
        <row r="20">
          <cell r="A20">
            <v>38200</v>
          </cell>
          <cell r="B20">
            <v>1.61E-2</v>
          </cell>
          <cell r="C20">
            <v>2.0999999999999999E-3</v>
          </cell>
          <cell r="D20">
            <v>0</v>
          </cell>
          <cell r="E20">
            <v>0</v>
          </cell>
          <cell r="F20">
            <v>1.8200000000000001E-2</v>
          </cell>
        </row>
        <row r="21">
          <cell r="A21">
            <v>38261</v>
          </cell>
          <cell r="B21">
            <v>1.61E-2</v>
          </cell>
          <cell r="C21">
            <v>1.9E-3</v>
          </cell>
          <cell r="D21">
            <v>0</v>
          </cell>
          <cell r="E21">
            <v>0</v>
          </cell>
          <cell r="F21">
            <v>1.7999999999999999E-2</v>
          </cell>
        </row>
        <row r="22">
          <cell r="A22">
            <v>38353</v>
          </cell>
          <cell r="B22">
            <v>1.61E-2</v>
          </cell>
          <cell r="C22">
            <v>1.9E-3</v>
          </cell>
          <cell r="D22">
            <v>0</v>
          </cell>
          <cell r="E22">
            <v>0</v>
          </cell>
          <cell r="F22">
            <v>1.7999999999999999E-2</v>
          </cell>
        </row>
      </sheetData>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 Contents"/>
      <sheetName val="Directions"/>
      <sheetName val="Kentucky Tariff"/>
      <sheetName val="Texas Tariff Sheet 20"/>
      <sheetName val="Tenn Tariff Sheet 23A"/>
      <sheetName val="Cashout Schedule (Texas)"/>
      <sheetName val="Cashout Schedule (Tenn)"/>
      <sheetName val="tbl Pipeline Cashout"/>
      <sheetName val="tbl Texas"/>
      <sheetName val="tbl Tenn"/>
      <sheetName val="Module1"/>
    </sheetNames>
    <sheetDataSet>
      <sheetData sheetId="0"/>
      <sheetData sheetId="1"/>
      <sheetData sheetId="2"/>
      <sheetData sheetId="3"/>
      <sheetData sheetId="4"/>
      <sheetData sheetId="5"/>
      <sheetData sheetId="6"/>
      <sheetData sheetId="7"/>
      <sheetData sheetId="8">
        <row r="8">
          <cell r="A8">
            <v>34335</v>
          </cell>
          <cell r="C8">
            <v>5.5199999999999999E-2</v>
          </cell>
          <cell r="D8">
            <v>6.0400000000000002E-2</v>
          </cell>
          <cell r="E8">
            <v>6.4399999999999999E-2</v>
          </cell>
        </row>
        <row r="9">
          <cell r="A9">
            <v>34455</v>
          </cell>
          <cell r="C9">
            <v>4.48E-2</v>
          </cell>
          <cell r="D9">
            <v>4.9099999999999998E-2</v>
          </cell>
          <cell r="E9">
            <v>5.2900000000000003E-2</v>
          </cell>
        </row>
        <row r="10">
          <cell r="A10">
            <v>34578</v>
          </cell>
          <cell r="C10">
            <v>4.3099999999999999E-2</v>
          </cell>
          <cell r="D10">
            <v>4.7399999999999998E-2</v>
          </cell>
          <cell r="E10">
            <v>5.1200000000000002E-2</v>
          </cell>
        </row>
        <row r="11">
          <cell r="A11">
            <v>34608</v>
          </cell>
          <cell r="C11">
            <v>4.2799999999999998E-2</v>
          </cell>
          <cell r="D11">
            <v>4.7100000000000003E-2</v>
          </cell>
          <cell r="E11">
            <v>5.0900000000000001E-2</v>
          </cell>
        </row>
        <row r="12">
          <cell r="A12">
            <v>34639</v>
          </cell>
          <cell r="C12">
            <v>4.02E-2</v>
          </cell>
          <cell r="D12">
            <v>4.4400000000000002E-2</v>
          </cell>
          <cell r="E12">
            <v>4.7600000000000003E-2</v>
          </cell>
        </row>
        <row r="13">
          <cell r="A13">
            <v>34700</v>
          </cell>
          <cell r="C13">
            <v>4.41E-2</v>
          </cell>
          <cell r="D13">
            <v>4.8300000000000003E-2</v>
          </cell>
          <cell r="E13">
            <v>5.1499999999999997E-2</v>
          </cell>
        </row>
        <row r="14">
          <cell r="A14">
            <v>34790</v>
          </cell>
          <cell r="C14">
            <v>4.1000000000000002E-2</v>
          </cell>
          <cell r="D14">
            <v>4.6199999999999998E-2</v>
          </cell>
          <cell r="E14">
            <v>5.0500000000000003E-2</v>
          </cell>
        </row>
        <row r="15">
          <cell r="A15">
            <v>35004</v>
          </cell>
          <cell r="C15">
            <v>4.0899999999999999E-2</v>
          </cell>
          <cell r="D15">
            <v>4.6100000000000002E-2</v>
          </cell>
          <cell r="E15">
            <v>5.04E-2</v>
          </cell>
        </row>
        <row r="16">
          <cell r="A16">
            <v>35034</v>
          </cell>
          <cell r="C16">
            <v>4.02E-2</v>
          </cell>
          <cell r="D16">
            <v>4.4200000000000003E-2</v>
          </cell>
          <cell r="E16">
            <v>4.8300000000000003E-2</v>
          </cell>
        </row>
        <row r="17">
          <cell r="A17">
            <v>35065</v>
          </cell>
          <cell r="C17">
            <v>4.0500000000000001E-2</v>
          </cell>
          <cell r="D17">
            <v>4.4499999999999998E-2</v>
          </cell>
          <cell r="E17">
            <v>4.8599999999999997E-2</v>
          </cell>
        </row>
        <row r="18">
          <cell r="A18">
            <v>35125</v>
          </cell>
          <cell r="B18" t="str">
            <v>Fifteenth</v>
          </cell>
          <cell r="C18">
            <v>3.1199999999999999E-2</v>
          </cell>
          <cell r="D18">
            <v>3.5200000000000002E-2</v>
          </cell>
          <cell r="E18">
            <v>3.9300000000000002E-2</v>
          </cell>
        </row>
        <row r="19">
          <cell r="A19">
            <v>35247</v>
          </cell>
          <cell r="B19" t="str">
            <v>Sixteenth</v>
          </cell>
          <cell r="C19">
            <v>3.1199999999999999E-2</v>
          </cell>
          <cell r="D19">
            <v>3.5200000000000002E-2</v>
          </cell>
          <cell r="E19">
            <v>3.9300000000000002E-2</v>
          </cell>
        </row>
        <row r="20">
          <cell r="A20">
            <v>35309</v>
          </cell>
          <cell r="B20" t="str">
            <v>Seventeenth</v>
          </cell>
          <cell r="C20">
            <v>2.8299999999999999E-2</v>
          </cell>
          <cell r="D20">
            <v>3.2300000000000002E-2</v>
          </cell>
          <cell r="E20">
            <v>3.6400000000000002E-2</v>
          </cell>
        </row>
        <row r="21">
          <cell r="A21">
            <v>35339</v>
          </cell>
          <cell r="B21" t="str">
            <v>Eighteenth</v>
          </cell>
          <cell r="C21">
            <v>2.8000000000000001E-2</v>
          </cell>
          <cell r="D21">
            <v>3.2000000000000001E-2</v>
          </cell>
          <cell r="E21">
            <v>3.61E-2</v>
          </cell>
        </row>
        <row r="22">
          <cell r="A22">
            <v>35462</v>
          </cell>
          <cell r="B22" t="str">
            <v>Nineteenth</v>
          </cell>
          <cell r="C22">
            <v>2.8000000000000001E-2</v>
          </cell>
          <cell r="D22">
            <v>3.2000000000000001E-2</v>
          </cell>
          <cell r="E22">
            <v>3.61E-2</v>
          </cell>
        </row>
        <row r="23">
          <cell r="A23">
            <v>35490</v>
          </cell>
          <cell r="B23" t="str">
            <v>Twentieth</v>
          </cell>
          <cell r="C23">
            <v>3.3399999999999999E-2</v>
          </cell>
          <cell r="D23">
            <v>3.7400000000000003E-2</v>
          </cell>
          <cell r="E23">
            <v>4.1500000000000002E-2</v>
          </cell>
        </row>
        <row r="24">
          <cell r="A24">
            <v>35612</v>
          </cell>
          <cell r="B24" t="str">
            <v>Twenty-first</v>
          </cell>
          <cell r="C24">
            <v>3.3399999999999999E-2</v>
          </cell>
          <cell r="D24">
            <v>3.7400000000000003E-2</v>
          </cell>
          <cell r="E24">
            <v>4.1500000000000002E-2</v>
          </cell>
        </row>
        <row r="25">
          <cell r="A25">
            <v>35674</v>
          </cell>
          <cell r="B25" t="str">
            <v>Twenty-second</v>
          </cell>
          <cell r="C25">
            <v>3.7999999999999999E-2</v>
          </cell>
          <cell r="D25">
            <v>4.41E-2</v>
          </cell>
          <cell r="E25">
            <v>5.0999999999999997E-2</v>
          </cell>
        </row>
        <row r="26">
          <cell r="A26">
            <v>35735</v>
          </cell>
          <cell r="B26" t="str">
            <v>Sub Twenty-second</v>
          </cell>
          <cell r="C26">
            <v>3.7999999999999999E-2</v>
          </cell>
          <cell r="D26">
            <v>4.41E-2</v>
          </cell>
          <cell r="E26">
            <v>5.0999999999999997E-2</v>
          </cell>
        </row>
        <row r="27">
          <cell r="A27">
            <v>35765</v>
          </cell>
          <cell r="B27" t="str">
            <v>Twenty-third</v>
          </cell>
          <cell r="C27">
            <v>3.8399999999999997E-2</v>
          </cell>
          <cell r="D27">
            <v>4.4499999999999998E-2</v>
          </cell>
          <cell r="E27">
            <v>5.1299999999999998E-2</v>
          </cell>
        </row>
        <row r="28">
          <cell r="A28">
            <v>35827</v>
          </cell>
          <cell r="B28" t="str">
            <v>Twenty-fourth</v>
          </cell>
          <cell r="C28">
            <v>3.8399999999999997E-2</v>
          </cell>
          <cell r="D28">
            <v>4.4499999999999998E-2</v>
          </cell>
          <cell r="E28">
            <v>5.1299999999999998E-2</v>
          </cell>
        </row>
        <row r="29">
          <cell r="A29">
            <v>35977</v>
          </cell>
          <cell r="B29" t="str">
            <v>Twenty-seventh</v>
          </cell>
          <cell r="C29">
            <v>3.4500000000000003E-2</v>
          </cell>
          <cell r="D29">
            <v>3.9199999999999999E-2</v>
          </cell>
          <cell r="E29">
            <v>4.4299999999999999E-2</v>
          </cell>
        </row>
        <row r="30">
          <cell r="A30">
            <v>36192</v>
          </cell>
          <cell r="B30" t="str">
            <v>Thirtieth</v>
          </cell>
          <cell r="C30">
            <v>3.6499999999999998E-2</v>
          </cell>
          <cell r="D30">
            <v>4.1200000000000001E-2</v>
          </cell>
          <cell r="E30">
            <v>4.6300000000000001E-2</v>
          </cell>
        </row>
        <row r="31">
          <cell r="A31">
            <v>36831</v>
          </cell>
          <cell r="B31" t="str">
            <v>Thirty-first</v>
          </cell>
          <cell r="C31">
            <v>3.5299999999999998E-2</v>
          </cell>
          <cell r="D31">
            <v>0.04</v>
          </cell>
          <cell r="E31">
            <v>4.5100000000000001E-2</v>
          </cell>
        </row>
        <row r="32">
          <cell r="A32">
            <v>36923</v>
          </cell>
          <cell r="B32" t="str">
            <v>Thirty-fourth</v>
          </cell>
          <cell r="C32">
            <v>3.5200000000000002E-2</v>
          </cell>
          <cell r="D32">
            <v>3.4700000000000002E-2</v>
          </cell>
          <cell r="E32">
            <v>4.07E-2</v>
          </cell>
        </row>
        <row r="33">
          <cell r="A33">
            <v>37012</v>
          </cell>
          <cell r="B33" t="str">
            <v>Thirty-seventh</v>
          </cell>
          <cell r="C33">
            <v>3.5000000000000003E-2</v>
          </cell>
          <cell r="D33">
            <v>3.4500000000000003E-2</v>
          </cell>
          <cell r="E33">
            <v>4.0500000000000001E-2</v>
          </cell>
        </row>
        <row r="34">
          <cell r="A34">
            <v>37165</v>
          </cell>
          <cell r="B34" t="str">
            <v>Thirty-eighth</v>
          </cell>
          <cell r="C34">
            <v>3.49E-2</v>
          </cell>
          <cell r="D34">
            <v>3.44E-2</v>
          </cell>
          <cell r="E34">
            <v>4.0399999999999998E-2</v>
          </cell>
        </row>
        <row r="35">
          <cell r="A35">
            <v>37561</v>
          </cell>
          <cell r="B35" t="str">
            <v>Fortieth</v>
          </cell>
          <cell r="C35">
            <v>4.6899999999999997E-2</v>
          </cell>
          <cell r="D35">
            <v>5.7000000000000002E-2</v>
          </cell>
          <cell r="E35">
            <v>6.4600000000000005E-2</v>
          </cell>
        </row>
        <row r="36">
          <cell r="A36">
            <v>37834</v>
          </cell>
          <cell r="B36" t="str">
            <v>First</v>
          </cell>
          <cell r="C36">
            <v>4.53E-2</v>
          </cell>
          <cell r="D36">
            <v>5.5399999999999998E-2</v>
          </cell>
          <cell r="E36">
            <v>6.3E-2</v>
          </cell>
        </row>
        <row r="37">
          <cell r="A37">
            <v>38292</v>
          </cell>
          <cell r="B37" t="str">
            <v>Second</v>
          </cell>
          <cell r="C37">
            <v>4.1300000000000003E-2</v>
          </cell>
          <cell r="D37">
            <v>5.1400000000000001E-2</v>
          </cell>
          <cell r="E37">
            <v>5.8999999999999997E-2</v>
          </cell>
        </row>
        <row r="38">
          <cell r="A38">
            <v>38322</v>
          </cell>
          <cell r="B38" t="str">
            <v>Third</v>
          </cell>
          <cell r="C38">
            <v>4.1099999999999998E-2</v>
          </cell>
          <cell r="D38">
            <v>5.1200000000000002E-2</v>
          </cell>
          <cell r="E38">
            <v>5.8799999999999998E-2</v>
          </cell>
        </row>
        <row r="39">
          <cell r="A39">
            <v>38353</v>
          </cell>
          <cell r="B39" t="str">
            <v>Third</v>
          </cell>
          <cell r="C39">
            <v>4.1099999999999998E-2</v>
          </cell>
          <cell r="D39">
            <v>5.1200000000000002E-2</v>
          </cell>
          <cell r="E39">
            <v>5.8799999999999998E-2</v>
          </cell>
        </row>
        <row r="40">
          <cell r="A40">
            <v>38443</v>
          </cell>
          <cell r="B40" t="str">
            <v>Fourth</v>
          </cell>
          <cell r="C40">
            <v>4.1099999999999998E-2</v>
          </cell>
          <cell r="D40">
            <v>5.1200000000000002E-2</v>
          </cell>
          <cell r="E40">
            <v>5.8799999999999998E-2</v>
          </cell>
        </row>
        <row r="41">
          <cell r="A41">
            <v>38596</v>
          </cell>
          <cell r="B41" t="str">
            <v>First Rev Fourth Rev Sheet No. 20 : Effective</v>
          </cell>
          <cell r="C41">
            <v>4.1000000000000002E-2</v>
          </cell>
          <cell r="D41">
            <v>5.11E-2</v>
          </cell>
          <cell r="E41">
            <v>5.8700000000000002E-2</v>
          </cell>
        </row>
        <row r="42">
          <cell r="A42">
            <v>38626</v>
          </cell>
          <cell r="B42" t="str">
            <v>Fifth Revised</v>
          </cell>
          <cell r="C42">
            <v>5.2999999999999999E-2</v>
          </cell>
          <cell r="D42">
            <v>5.6300000000000003E-2</v>
          </cell>
          <cell r="E42">
            <v>6.8500000000000005E-2</v>
          </cell>
        </row>
        <row r="43">
          <cell r="A43">
            <v>38657</v>
          </cell>
          <cell r="B43" t="str">
            <v>Sixth Revised</v>
          </cell>
          <cell r="C43">
            <v>5.2999999999999999E-2</v>
          </cell>
          <cell r="D43">
            <v>5.6300000000000003E-2</v>
          </cell>
          <cell r="E43">
            <v>6.8500000000000005E-2</v>
          </cell>
        </row>
        <row r="44">
          <cell r="A44">
            <v>38777</v>
          </cell>
          <cell r="B44" t="str">
            <v>Seventh Revised</v>
          </cell>
          <cell r="C44">
            <v>4.7800000000000002E-2</v>
          </cell>
          <cell r="D44">
            <v>5.0799999999999998E-2</v>
          </cell>
          <cell r="E44">
            <v>6.3200000000000006E-2</v>
          </cell>
        </row>
        <row r="45">
          <cell r="A45">
            <v>38899</v>
          </cell>
          <cell r="B45" t="str">
            <v>Substitute Seventh Revised</v>
          </cell>
          <cell r="C45">
            <v>4.7800000000000002E-2</v>
          </cell>
          <cell r="D45">
            <v>5.0799999999999998E-2</v>
          </cell>
          <cell r="E45">
            <v>6.3200000000000006E-2</v>
          </cell>
        </row>
        <row r="46">
          <cell r="A46">
            <v>38961</v>
          </cell>
          <cell r="B46" t="str">
            <v>Substitute Seventh Revised</v>
          </cell>
          <cell r="C46">
            <v>4.7600000000000003E-2</v>
          </cell>
          <cell r="D46">
            <v>5.0599999999999999E-2</v>
          </cell>
          <cell r="E46">
            <v>6.3E-2</v>
          </cell>
        </row>
        <row r="47">
          <cell r="A47">
            <v>39052</v>
          </cell>
          <cell r="B47" t="str">
            <v>Eighth Revised</v>
          </cell>
          <cell r="C47">
            <v>4.7600000000000003E-2</v>
          </cell>
          <cell r="D47">
            <v>5.0599999999999999E-2</v>
          </cell>
          <cell r="E47">
            <v>6.3E-2</v>
          </cell>
        </row>
        <row r="48">
          <cell r="A48">
            <v>39142</v>
          </cell>
          <cell r="B48" t="str">
            <v>Ninth Revised</v>
          </cell>
          <cell r="C48">
            <v>4.7500000000000001E-2</v>
          </cell>
          <cell r="D48">
            <v>5.0500000000000003E-2</v>
          </cell>
          <cell r="E48">
            <v>6.2899999999999998E-2</v>
          </cell>
        </row>
        <row r="49">
          <cell r="A49">
            <v>39326</v>
          </cell>
          <cell r="B49" t="str">
            <v>Tenth Revised</v>
          </cell>
          <cell r="C49">
            <v>4.7800000000000002E-2</v>
          </cell>
          <cell r="D49">
            <v>5.0799999999999998E-2</v>
          </cell>
          <cell r="E49">
            <v>6.3200000000000006E-2</v>
          </cell>
        </row>
        <row r="50">
          <cell r="A50">
            <v>39417</v>
          </cell>
          <cell r="B50" t="str">
            <v>Twelfth Revised</v>
          </cell>
          <cell r="C50">
            <v>4.7899999999999998E-2</v>
          </cell>
          <cell r="D50">
            <v>5.0900000000000001E-2</v>
          </cell>
          <cell r="E50">
            <v>6.3329999999999997E-2</v>
          </cell>
        </row>
        <row r="51">
          <cell r="A51">
            <v>39729</v>
          </cell>
          <cell r="B51" t="str">
            <v>Fourteenth Revised</v>
          </cell>
          <cell r="C51">
            <v>4.7699999999999999E-2</v>
          </cell>
          <cell r="D51">
            <v>5.0700000000000002E-2</v>
          </cell>
          <cell r="E51">
            <v>6.3100000000000003E-2</v>
          </cell>
        </row>
        <row r="52">
          <cell r="A52">
            <v>73050</v>
          </cell>
        </row>
      </sheetData>
      <sheetData sheetId="9"/>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bmission"/>
      <sheetName val="T.4"/>
      <sheetName val="T.5"/>
      <sheetName val="T.6"/>
      <sheetName val="A.1"/>
      <sheetName val="A.2"/>
      <sheetName val="B.1"/>
      <sheetName val="B.2"/>
      <sheetName val="B.3"/>
      <sheetName val="B.4"/>
      <sheetName val="B.5"/>
      <sheetName val="B.6"/>
      <sheetName val="B.7"/>
      <sheetName val="B.8"/>
      <sheetName val="C.1"/>
      <sheetName val="C.2"/>
      <sheetName val="D.1"/>
      <sheetName val="D.2"/>
      <sheetName val="D.3"/>
      <sheetName val="D.4"/>
      <sheetName val="D.5"/>
      <sheetName val="D.6"/>
      <sheetName val="E.1"/>
      <sheetName val="E.2"/>
      <sheetName val="PBR"/>
      <sheetName val="PBR.1"/>
      <sheetName val="WorkPaper"/>
      <sheetName val="Control"/>
      <sheetName val="WP-D.1"/>
      <sheetName val="WP-E.1"/>
      <sheetName val="WP-T.1"/>
      <sheetName val="Data Mart Inputs"/>
      <sheetName val="AES Hedge Positions"/>
      <sheetName val="Storage"/>
      <sheetName val="Holida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4">
          <cell r="B4">
            <v>41306</v>
          </cell>
        </row>
        <row r="14">
          <cell r="B14">
            <v>41122</v>
          </cell>
        </row>
        <row r="15">
          <cell r="B15">
            <v>41153</v>
          </cell>
        </row>
        <row r="16">
          <cell r="B16">
            <v>41183</v>
          </cell>
        </row>
        <row r="18">
          <cell r="B18">
            <v>41153</v>
          </cell>
        </row>
        <row r="19">
          <cell r="B19">
            <v>41183</v>
          </cell>
        </row>
        <row r="20">
          <cell r="B20">
            <v>41214</v>
          </cell>
        </row>
      </sheetData>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 Contents"/>
      <sheetName val="Macros"/>
      <sheetName val="Instructions"/>
      <sheetName val="Pipelines Tariffs"/>
      <sheetName val="Texas (21)"/>
      <sheetName val="Texas (21) New"/>
      <sheetName val="Texas (22)"/>
      <sheetName val="Texas (22) New"/>
      <sheetName val="Texas (26)"/>
      <sheetName val="Texas (26) New"/>
      <sheetName val="Texas (36)"/>
      <sheetName val="Texas (36) New"/>
      <sheetName val="Tenn (15)"/>
      <sheetName val="Tenn (15) New"/>
      <sheetName val="Tenn (23)"/>
      <sheetName val="Tenn (23) New"/>
      <sheetName val="Tenn (24)"/>
      <sheetName val="Tenn (24) New"/>
      <sheetName val="Tenn (26)"/>
      <sheetName val="Tenn (26) New"/>
      <sheetName val="Tenn (32)"/>
      <sheetName val="Tenn (61)"/>
      <sheetName val="Tenn (61) New"/>
      <sheetName val="Trunkline (10)"/>
      <sheetName val="Trunkline (10) New"/>
    </sheetNames>
    <sheetDataSet>
      <sheetData sheetId="0" refreshError="1"/>
      <sheetData sheetId="1">
        <row r="9">
          <cell r="D9">
            <v>41214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 Contents"/>
      <sheetName val="Macros"/>
      <sheetName val="Instructions"/>
      <sheetName val="Pipelines Tariffs"/>
      <sheetName val="Texas (21)"/>
      <sheetName val="Texas (21) New"/>
      <sheetName val="Texas (22)"/>
      <sheetName val="Texas (22) New"/>
      <sheetName val="Texas (26)"/>
      <sheetName val="Texas (26) New"/>
      <sheetName val="Texas (36)"/>
      <sheetName val="Texas (36) New"/>
      <sheetName val="Tenn (15)"/>
      <sheetName val="Tenn (15) New"/>
      <sheetName val="Tenn (23)"/>
      <sheetName val="Tenn (23) New"/>
      <sheetName val="Tenn (24)"/>
      <sheetName val="Tenn (24) New"/>
      <sheetName val="Tenn (26)"/>
      <sheetName val="Tenn (26) New"/>
      <sheetName val="Tenn (32)"/>
      <sheetName val="Tenn (61)"/>
      <sheetName val="Tenn (61) New"/>
      <sheetName val="Trunkline (10)"/>
      <sheetName val="Trunkline (10) New"/>
    </sheetNames>
    <sheetDataSet>
      <sheetData sheetId="0" refreshError="1"/>
      <sheetData sheetId="1">
        <row r="9">
          <cell r="D9">
            <v>41214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 Contents"/>
      <sheetName val="Directions"/>
      <sheetName val="LVS Rates"/>
      <sheetName val="Backup Page"/>
      <sheetName val="Additional Backup"/>
      <sheetName val="Additional Adjustments"/>
      <sheetName val="History"/>
      <sheetName val="Price History"/>
      <sheetName val="Module1"/>
    </sheetNames>
    <sheetDataSet>
      <sheetData sheetId="0"/>
      <sheetData sheetId="1">
        <row r="5">
          <cell r="E5">
            <v>38384</v>
          </cell>
        </row>
      </sheetData>
      <sheetData sheetId="2"/>
      <sheetData sheetId="3">
        <row r="17">
          <cell r="J17">
            <v>6.4271000000000003</v>
          </cell>
        </row>
        <row r="31">
          <cell r="F31">
            <v>-0.79859999999999953</v>
          </cell>
        </row>
      </sheetData>
      <sheetData sheetId="4">
        <row r="1">
          <cell r="B1">
            <v>36009</v>
          </cell>
          <cell r="J1">
            <v>0</v>
          </cell>
        </row>
        <row r="35">
          <cell r="F35">
            <v>9.8099999999999632E-2</v>
          </cell>
        </row>
        <row r="39">
          <cell r="B39">
            <v>35978</v>
          </cell>
        </row>
        <row r="73">
          <cell r="F73">
            <v>-1.5499999999999847E-2</v>
          </cell>
        </row>
      </sheetData>
      <sheetData sheetId="5"/>
      <sheetData sheetId="6">
        <row r="12">
          <cell r="A12">
            <v>34425</v>
          </cell>
          <cell r="B12">
            <v>11.6</v>
          </cell>
          <cell r="C12">
            <v>100</v>
          </cell>
          <cell r="D12" t="str">
            <v>Eighth</v>
          </cell>
          <cell r="F12">
            <v>0.94189999999999996</v>
          </cell>
          <cell r="G12">
            <v>0.79190000000000005</v>
          </cell>
          <cell r="H12">
            <v>0.64190000000000003</v>
          </cell>
          <cell r="I12">
            <v>0.47749999999999998</v>
          </cell>
          <cell r="J12">
            <v>0.32750000000000001</v>
          </cell>
          <cell r="L12">
            <v>0.93989999999999996</v>
          </cell>
          <cell r="N12">
            <v>0.35899999999999999</v>
          </cell>
        </row>
        <row r="13">
          <cell r="A13">
            <v>34455</v>
          </cell>
          <cell r="B13">
            <v>11.6</v>
          </cell>
          <cell r="C13">
            <v>100</v>
          </cell>
          <cell r="D13" t="str">
            <v>Ninth</v>
          </cell>
          <cell r="F13">
            <v>0.94189999999999996</v>
          </cell>
          <cell r="G13">
            <v>0.79190000000000005</v>
          </cell>
          <cell r="H13">
            <v>0.64190000000000003</v>
          </cell>
          <cell r="I13">
            <v>0.47749999999999998</v>
          </cell>
          <cell r="J13">
            <v>0.32750000000000001</v>
          </cell>
          <cell r="L13">
            <v>0.93869999999999998</v>
          </cell>
          <cell r="N13">
            <v>0.35780000000000001</v>
          </cell>
        </row>
        <row r="14">
          <cell r="A14">
            <v>34486</v>
          </cell>
          <cell r="B14">
            <v>11.6</v>
          </cell>
          <cell r="C14">
            <v>100</v>
          </cell>
          <cell r="D14" t="str">
            <v>Tenth</v>
          </cell>
          <cell r="F14">
            <v>0.94189999999999996</v>
          </cell>
          <cell r="G14">
            <v>0.79190000000000005</v>
          </cell>
          <cell r="H14">
            <v>0.64190000000000003</v>
          </cell>
          <cell r="I14">
            <v>0.47749999999999998</v>
          </cell>
          <cell r="J14">
            <v>0.32750000000000001</v>
          </cell>
          <cell r="L14">
            <v>0.92730000000000001</v>
          </cell>
          <cell r="N14">
            <v>0.34639999999999999</v>
          </cell>
        </row>
        <row r="15">
          <cell r="A15">
            <v>34516</v>
          </cell>
          <cell r="B15">
            <v>11.6</v>
          </cell>
          <cell r="C15">
            <v>100</v>
          </cell>
          <cell r="D15" t="str">
            <v>Eleventh</v>
          </cell>
          <cell r="F15">
            <v>0.94189999999999996</v>
          </cell>
          <cell r="G15">
            <v>0.79190000000000005</v>
          </cell>
          <cell r="H15">
            <v>0.64190000000000003</v>
          </cell>
          <cell r="I15">
            <v>0.47749999999999998</v>
          </cell>
          <cell r="J15">
            <v>0.32750000000000001</v>
          </cell>
          <cell r="L15">
            <v>0.90969999999999995</v>
          </cell>
          <cell r="N15">
            <v>0.34310000000000002</v>
          </cell>
        </row>
        <row r="16">
          <cell r="A16">
            <v>34547</v>
          </cell>
          <cell r="B16">
            <v>11.6</v>
          </cell>
          <cell r="C16">
            <v>100</v>
          </cell>
          <cell r="D16" t="str">
            <v>Twelth</v>
          </cell>
          <cell r="F16">
            <v>0.94189999999999996</v>
          </cell>
          <cell r="G16">
            <v>0.79190000000000005</v>
          </cell>
          <cell r="H16">
            <v>0.64190000000000003</v>
          </cell>
          <cell r="I16">
            <v>0.47749999999999998</v>
          </cell>
          <cell r="J16">
            <v>0.32750000000000001</v>
          </cell>
          <cell r="L16">
            <v>0.90449999999999997</v>
          </cell>
          <cell r="N16">
            <v>0.33789999999999998</v>
          </cell>
        </row>
        <row r="17">
          <cell r="A17">
            <v>34578</v>
          </cell>
          <cell r="B17">
            <v>11.6</v>
          </cell>
          <cell r="C17">
            <v>100</v>
          </cell>
          <cell r="D17" t="str">
            <v>Thirteenth</v>
          </cell>
          <cell r="F17">
            <v>0.94189999999999996</v>
          </cell>
          <cell r="G17">
            <v>0.79190000000000005</v>
          </cell>
          <cell r="H17">
            <v>0.64190000000000003</v>
          </cell>
          <cell r="I17">
            <v>0.47749999999999998</v>
          </cell>
          <cell r="J17">
            <v>0.32750000000000001</v>
          </cell>
          <cell r="L17">
            <v>0.87080000000000002</v>
          </cell>
          <cell r="N17">
            <v>0.3211</v>
          </cell>
        </row>
        <row r="18">
          <cell r="A18">
            <v>34608</v>
          </cell>
          <cell r="B18">
            <v>11.6</v>
          </cell>
          <cell r="C18">
            <v>100</v>
          </cell>
          <cell r="D18" t="str">
            <v>Fourteenth</v>
          </cell>
          <cell r="F18">
            <v>0.94189999999999996</v>
          </cell>
          <cell r="G18">
            <v>0.79190000000000005</v>
          </cell>
          <cell r="H18">
            <v>0.64190000000000003</v>
          </cell>
          <cell r="I18">
            <v>0.47749999999999998</v>
          </cell>
          <cell r="J18">
            <v>0.32750000000000001</v>
          </cell>
          <cell r="L18">
            <v>0.88829999999999998</v>
          </cell>
          <cell r="N18">
            <v>0.33860000000000001</v>
          </cell>
        </row>
        <row r="19">
          <cell r="A19">
            <v>34639</v>
          </cell>
          <cell r="B19">
            <v>11.6</v>
          </cell>
          <cell r="C19">
            <v>100</v>
          </cell>
          <cell r="D19" t="str">
            <v>Fifteenth</v>
          </cell>
          <cell r="F19">
            <v>0.94189999999999996</v>
          </cell>
          <cell r="G19">
            <v>0.79190000000000005</v>
          </cell>
          <cell r="H19">
            <v>0.64190000000000003</v>
          </cell>
          <cell r="I19">
            <v>0.47749999999999998</v>
          </cell>
          <cell r="J19">
            <v>0.32750000000000001</v>
          </cell>
          <cell r="L19">
            <v>0.92190000000000005</v>
          </cell>
          <cell r="N19">
            <v>0.40639999999999998</v>
          </cell>
        </row>
        <row r="20">
          <cell r="A20">
            <v>34669</v>
          </cell>
          <cell r="B20">
            <v>11.6</v>
          </cell>
          <cell r="C20">
            <v>100</v>
          </cell>
          <cell r="D20" t="str">
            <v>Sixteenth</v>
          </cell>
          <cell r="F20">
            <v>0.94189999999999996</v>
          </cell>
          <cell r="G20">
            <v>0.79190000000000005</v>
          </cell>
          <cell r="H20">
            <v>0.64190000000000003</v>
          </cell>
          <cell r="I20">
            <v>0.47749999999999998</v>
          </cell>
          <cell r="J20">
            <v>0.32750000000000001</v>
          </cell>
          <cell r="L20">
            <v>0.88990000000000002</v>
          </cell>
          <cell r="N20">
            <v>0.39839999999999998</v>
          </cell>
        </row>
        <row r="21">
          <cell r="A21">
            <v>34700</v>
          </cell>
          <cell r="B21">
            <v>11.6</v>
          </cell>
          <cell r="C21">
            <v>100</v>
          </cell>
          <cell r="D21" t="str">
            <v>Seventeenth</v>
          </cell>
          <cell r="F21">
            <v>0.94189999999999996</v>
          </cell>
          <cell r="G21">
            <v>0.79190000000000005</v>
          </cell>
          <cell r="H21">
            <v>0.64190000000000003</v>
          </cell>
          <cell r="I21">
            <v>0.47749999999999998</v>
          </cell>
          <cell r="J21">
            <v>0.32750000000000001</v>
          </cell>
          <cell r="L21">
            <v>0.90659999999999996</v>
          </cell>
          <cell r="N21">
            <v>0.41639999999999999</v>
          </cell>
        </row>
        <row r="22">
          <cell r="A22">
            <v>34731</v>
          </cell>
          <cell r="B22">
            <v>11.6</v>
          </cell>
          <cell r="C22">
            <v>100</v>
          </cell>
          <cell r="D22" t="str">
            <v>Eighteenth</v>
          </cell>
          <cell r="F22">
            <v>0.94189999999999996</v>
          </cell>
          <cell r="G22">
            <v>0.79190000000000005</v>
          </cell>
          <cell r="H22">
            <v>0.64190000000000003</v>
          </cell>
          <cell r="I22">
            <v>0.47749999999999998</v>
          </cell>
          <cell r="J22">
            <v>0.32750000000000001</v>
          </cell>
          <cell r="L22">
            <v>0.81010000000000004</v>
          </cell>
          <cell r="N22">
            <v>0.39510000000000001</v>
          </cell>
        </row>
        <row r="23">
          <cell r="A23">
            <v>34759</v>
          </cell>
          <cell r="B23">
            <v>11.6</v>
          </cell>
          <cell r="C23">
            <v>100</v>
          </cell>
          <cell r="D23" t="str">
            <v>Ninteenth</v>
          </cell>
          <cell r="F23">
            <v>0.94189999999999996</v>
          </cell>
          <cell r="G23">
            <v>0.79190000000000005</v>
          </cell>
          <cell r="H23">
            <v>0.64190000000000003</v>
          </cell>
          <cell r="I23">
            <v>0.47749999999999998</v>
          </cell>
          <cell r="J23">
            <v>0.32750000000000001</v>
          </cell>
          <cell r="L23">
            <v>0.81279999999999997</v>
          </cell>
          <cell r="N23">
            <v>0.39179999999999998</v>
          </cell>
        </row>
        <row r="24">
          <cell r="A24">
            <v>34790</v>
          </cell>
          <cell r="B24">
            <v>11.6</v>
          </cell>
          <cell r="C24">
            <v>100</v>
          </cell>
          <cell r="D24" t="str">
            <v>Twentieth</v>
          </cell>
          <cell r="F24">
            <v>0.94189999999999996</v>
          </cell>
          <cell r="G24">
            <v>0.79190000000000005</v>
          </cell>
          <cell r="H24">
            <v>0.64190000000000003</v>
          </cell>
          <cell r="I24">
            <v>0.47749999999999998</v>
          </cell>
          <cell r="J24">
            <v>0.32750000000000001</v>
          </cell>
          <cell r="L24">
            <v>0.99850000000000005</v>
          </cell>
          <cell r="N24">
            <v>0.38650000000000001</v>
          </cell>
        </row>
        <row r="25">
          <cell r="A25">
            <v>34820</v>
          </cell>
          <cell r="B25">
            <v>11.6</v>
          </cell>
          <cell r="C25">
            <v>100</v>
          </cell>
          <cell r="D25" t="str">
            <v>Twenty-First</v>
          </cell>
          <cell r="F25">
            <v>0.94189999999999996</v>
          </cell>
          <cell r="G25">
            <v>0.79190000000000005</v>
          </cell>
          <cell r="H25">
            <v>0.64190000000000003</v>
          </cell>
          <cell r="I25">
            <v>0.47749999999999998</v>
          </cell>
          <cell r="J25">
            <v>0.32750000000000001</v>
          </cell>
          <cell r="L25">
            <v>0.99850000000000005</v>
          </cell>
          <cell r="N25">
            <v>0.38650000000000001</v>
          </cell>
        </row>
        <row r="26">
          <cell r="A26">
            <v>34851</v>
          </cell>
          <cell r="B26">
            <v>11.6</v>
          </cell>
          <cell r="C26">
            <v>100</v>
          </cell>
          <cell r="D26" t="str">
            <v>Twenty-Second</v>
          </cell>
          <cell r="F26">
            <v>0.94189999999999996</v>
          </cell>
          <cell r="G26">
            <v>0.79190000000000005</v>
          </cell>
          <cell r="H26">
            <v>0.64190000000000003</v>
          </cell>
          <cell r="I26">
            <v>0.47749999999999998</v>
          </cell>
          <cell r="J26">
            <v>0.32750000000000001</v>
          </cell>
          <cell r="L26">
            <v>1.0266</v>
          </cell>
          <cell r="N26">
            <v>0.41460000000000002</v>
          </cell>
        </row>
        <row r="27">
          <cell r="A27">
            <v>34881</v>
          </cell>
          <cell r="B27">
            <v>11.6</v>
          </cell>
          <cell r="C27">
            <v>100</v>
          </cell>
          <cell r="D27" t="str">
            <v>Twenty-Third</v>
          </cell>
          <cell r="F27">
            <v>0.94189999999999996</v>
          </cell>
          <cell r="G27">
            <v>0.79190000000000005</v>
          </cell>
          <cell r="H27">
            <v>0.64190000000000003</v>
          </cell>
          <cell r="I27">
            <v>0.47749999999999998</v>
          </cell>
          <cell r="J27">
            <v>0.32750000000000001</v>
          </cell>
          <cell r="L27">
            <v>0.99629999999999996</v>
          </cell>
          <cell r="N27">
            <v>0.38429999999999997</v>
          </cell>
        </row>
        <row r="28">
          <cell r="A28">
            <v>34912</v>
          </cell>
          <cell r="B28">
            <v>11.6</v>
          </cell>
          <cell r="C28">
            <v>100</v>
          </cell>
          <cell r="D28" t="str">
            <v>Twenty-Fourth</v>
          </cell>
          <cell r="F28">
            <v>0.94189999999999996</v>
          </cell>
          <cell r="G28">
            <v>0.79190000000000005</v>
          </cell>
          <cell r="H28">
            <v>0.64190000000000003</v>
          </cell>
          <cell r="I28">
            <v>0.47749999999999998</v>
          </cell>
          <cell r="J28">
            <v>0.32750000000000001</v>
          </cell>
          <cell r="L28">
            <v>0.98340000000000005</v>
          </cell>
          <cell r="N28">
            <v>0.38009999999999999</v>
          </cell>
        </row>
        <row r="29">
          <cell r="A29">
            <v>34943</v>
          </cell>
          <cell r="B29">
            <v>11.6</v>
          </cell>
          <cell r="C29">
            <v>100</v>
          </cell>
          <cell r="D29" t="str">
            <v>Twenty-Fifth</v>
          </cell>
          <cell r="F29">
            <v>0.94189999999999996</v>
          </cell>
          <cell r="G29">
            <v>0.79190000000000005</v>
          </cell>
          <cell r="H29">
            <v>0.64190000000000003</v>
          </cell>
          <cell r="I29">
            <v>0.47749999999999998</v>
          </cell>
          <cell r="J29">
            <v>0.32750000000000001</v>
          </cell>
          <cell r="L29">
            <v>0.97670000000000001</v>
          </cell>
          <cell r="N29">
            <v>0.37959999999999999</v>
          </cell>
        </row>
        <row r="30">
          <cell r="A30">
            <v>34973</v>
          </cell>
          <cell r="B30">
            <v>11.6</v>
          </cell>
          <cell r="C30">
            <v>100</v>
          </cell>
          <cell r="D30" t="str">
            <v>Twenty-Sixth</v>
          </cell>
          <cell r="F30">
            <v>0.94189999999999996</v>
          </cell>
          <cell r="G30">
            <v>0.79190000000000005</v>
          </cell>
          <cell r="H30">
            <v>0.64190000000000003</v>
          </cell>
          <cell r="I30">
            <v>0.47749999999999998</v>
          </cell>
          <cell r="J30">
            <v>0.32750000000000001</v>
          </cell>
          <cell r="L30">
            <v>0.96160000000000001</v>
          </cell>
          <cell r="N30">
            <v>0.36449999999999999</v>
          </cell>
        </row>
        <row r="31">
          <cell r="A31">
            <v>35004</v>
          </cell>
          <cell r="B31">
            <v>13.6</v>
          </cell>
          <cell r="C31">
            <v>150</v>
          </cell>
          <cell r="D31" t="str">
            <v>Twenty-seventh</v>
          </cell>
          <cell r="E31">
            <v>2.1000000000000001E-2</v>
          </cell>
          <cell r="F31">
            <v>1.0106999999999999</v>
          </cell>
          <cell r="G31">
            <v>0.5585</v>
          </cell>
          <cell r="H31">
            <v>0.40849999999999997</v>
          </cell>
          <cell r="I31">
            <v>0.49359999999999998</v>
          </cell>
          <cell r="J31">
            <v>0.34360000000000002</v>
          </cell>
          <cell r="K31">
            <v>5.6445999999999996</v>
          </cell>
          <cell r="L31">
            <v>0.96550000000000002</v>
          </cell>
          <cell r="M31">
            <v>0.23180000000000001</v>
          </cell>
          <cell r="N31">
            <v>0.3342</v>
          </cell>
        </row>
        <row r="32">
          <cell r="A32">
            <v>35034</v>
          </cell>
          <cell r="B32">
            <v>13.6</v>
          </cell>
          <cell r="C32">
            <v>150</v>
          </cell>
          <cell r="D32" t="str">
            <v>Twenty-eighth</v>
          </cell>
          <cell r="E32">
            <v>2.1000000000000001E-2</v>
          </cell>
          <cell r="F32">
            <v>1.0106999999999999</v>
          </cell>
          <cell r="G32">
            <v>0.5585</v>
          </cell>
          <cell r="H32">
            <v>0.40849999999999997</v>
          </cell>
          <cell r="I32">
            <v>0.49359999999999998</v>
          </cell>
          <cell r="J32">
            <v>0.34360000000000002</v>
          </cell>
          <cell r="K32">
            <v>5.6445999999999996</v>
          </cell>
          <cell r="L32">
            <v>0.96189999999999998</v>
          </cell>
          <cell r="M32">
            <v>0.22819999999999999</v>
          </cell>
          <cell r="N32">
            <v>0.33110000000000001</v>
          </cell>
        </row>
        <row r="33">
          <cell r="A33">
            <v>35065</v>
          </cell>
          <cell r="B33">
            <v>13.6</v>
          </cell>
          <cell r="C33">
            <v>150</v>
          </cell>
          <cell r="D33" t="str">
            <v>Twenty-ninth</v>
          </cell>
          <cell r="E33">
            <v>2.1000000000000001E-2</v>
          </cell>
          <cell r="F33">
            <v>1.0106999999999999</v>
          </cell>
          <cell r="G33">
            <v>0.5585</v>
          </cell>
          <cell r="H33">
            <v>0.40849999999999997</v>
          </cell>
          <cell r="I33">
            <v>0.49359999999999998</v>
          </cell>
          <cell r="J33">
            <v>0.34360000000000002</v>
          </cell>
          <cell r="K33">
            <v>5.5761000000000003</v>
          </cell>
          <cell r="L33">
            <v>0.94950000000000001</v>
          </cell>
          <cell r="M33">
            <v>0.22470000000000001</v>
          </cell>
          <cell r="N33">
            <v>0.3276</v>
          </cell>
        </row>
        <row r="34">
          <cell r="A34">
            <v>35096</v>
          </cell>
          <cell r="B34">
            <v>13.6</v>
          </cell>
          <cell r="C34">
            <v>150</v>
          </cell>
          <cell r="D34" t="str">
            <v>Thirtieth</v>
          </cell>
          <cell r="E34">
            <v>2.1000000000000001E-2</v>
          </cell>
          <cell r="F34">
            <v>1.0106999999999999</v>
          </cell>
          <cell r="G34">
            <v>0.5585</v>
          </cell>
          <cell r="H34">
            <v>0.40849999999999997</v>
          </cell>
          <cell r="I34">
            <v>0.49359999999999998</v>
          </cell>
          <cell r="J34">
            <v>0.34360000000000002</v>
          </cell>
          <cell r="K34">
            <v>5.6570999999999998</v>
          </cell>
          <cell r="L34">
            <v>0.96340000000000003</v>
          </cell>
          <cell r="M34">
            <v>0.2092</v>
          </cell>
          <cell r="N34">
            <v>0.31209999999999999</v>
          </cell>
        </row>
        <row r="35">
          <cell r="A35">
            <v>35125</v>
          </cell>
          <cell r="B35">
            <v>13.6</v>
          </cell>
          <cell r="C35">
            <v>150</v>
          </cell>
          <cell r="D35" t="str">
            <v>Thirty-first</v>
          </cell>
          <cell r="E35">
            <v>2.1000000000000001E-2</v>
          </cell>
          <cell r="F35">
            <v>1.0615000000000001</v>
          </cell>
          <cell r="G35">
            <v>0.5585</v>
          </cell>
          <cell r="H35">
            <v>0.40849999999999997</v>
          </cell>
          <cell r="I35">
            <v>0.49359999999999998</v>
          </cell>
          <cell r="J35">
            <v>0.34360000000000002</v>
          </cell>
          <cell r="K35">
            <v>5.6666999999999996</v>
          </cell>
          <cell r="L35">
            <v>1.0442</v>
          </cell>
          <cell r="M35">
            <v>0.28889999999999999</v>
          </cell>
          <cell r="N35">
            <v>0.33700000000000002</v>
          </cell>
        </row>
        <row r="36">
          <cell r="A36">
            <v>35156</v>
          </cell>
          <cell r="B36">
            <v>13.6</v>
          </cell>
          <cell r="C36">
            <v>150</v>
          </cell>
          <cell r="D36" t="str">
            <v>Thirty-second</v>
          </cell>
          <cell r="E36">
            <v>2.1000000000000001E-2</v>
          </cell>
          <cell r="F36">
            <v>1.0615000000000001</v>
          </cell>
          <cell r="G36">
            <v>0.5585</v>
          </cell>
          <cell r="H36">
            <v>0.40849999999999997</v>
          </cell>
          <cell r="I36">
            <v>0.49359999999999998</v>
          </cell>
          <cell r="J36">
            <v>0.34360000000000002</v>
          </cell>
          <cell r="K36">
            <v>4.9048999999999996</v>
          </cell>
          <cell r="L36">
            <v>1.0583</v>
          </cell>
          <cell r="M36">
            <v>0.30909999999999999</v>
          </cell>
          <cell r="N36">
            <v>0.3327</v>
          </cell>
        </row>
        <row r="37">
          <cell r="A37">
            <v>35186</v>
          </cell>
          <cell r="B37">
            <v>13.6</v>
          </cell>
          <cell r="C37">
            <v>150</v>
          </cell>
          <cell r="D37" t="str">
            <v>Thirty-third</v>
          </cell>
          <cell r="E37">
            <v>2.1000000000000001E-2</v>
          </cell>
          <cell r="F37">
            <v>1.0615000000000001</v>
          </cell>
          <cell r="G37">
            <v>0.5585</v>
          </cell>
          <cell r="H37">
            <v>0.40849999999999997</v>
          </cell>
          <cell r="I37">
            <v>0.49359999999999998</v>
          </cell>
          <cell r="J37">
            <v>0.34360000000000002</v>
          </cell>
          <cell r="K37">
            <v>4.9048999999999996</v>
          </cell>
          <cell r="L37">
            <v>0.94279999999999997</v>
          </cell>
          <cell r="M37">
            <v>0.2787</v>
          </cell>
          <cell r="N37">
            <v>0.30230000000000001</v>
          </cell>
        </row>
        <row r="38">
          <cell r="A38">
            <v>35217</v>
          </cell>
          <cell r="B38">
            <v>13.6</v>
          </cell>
          <cell r="C38">
            <v>150</v>
          </cell>
          <cell r="D38" t="str">
            <v>Thirty-fourth</v>
          </cell>
          <cell r="E38">
            <v>2.1000000000000001E-2</v>
          </cell>
          <cell r="F38">
            <v>1.0615000000000001</v>
          </cell>
          <cell r="G38">
            <v>0.5585</v>
          </cell>
          <cell r="H38">
            <v>0.40849999999999997</v>
          </cell>
          <cell r="I38">
            <v>0.49359999999999998</v>
          </cell>
          <cell r="J38">
            <v>0.34360000000000002</v>
          </cell>
          <cell r="K38">
            <v>4.5968999999999998</v>
          </cell>
          <cell r="L38">
            <v>0.80869999999999997</v>
          </cell>
          <cell r="M38">
            <v>0.1741</v>
          </cell>
          <cell r="N38">
            <v>0.245</v>
          </cell>
        </row>
        <row r="39">
          <cell r="A39">
            <v>35247</v>
          </cell>
          <cell r="B39">
            <v>13.6</v>
          </cell>
          <cell r="C39">
            <v>150</v>
          </cell>
          <cell r="D39" t="str">
            <v>Thirty-fifth</v>
          </cell>
          <cell r="E39">
            <v>2.1000000000000001E-2</v>
          </cell>
          <cell r="F39">
            <v>1.0615000000000001</v>
          </cell>
          <cell r="G39">
            <v>0.5585</v>
          </cell>
          <cell r="H39">
            <v>0.40849999999999997</v>
          </cell>
          <cell r="I39">
            <v>0.49359999999999998</v>
          </cell>
          <cell r="J39">
            <v>0.34360000000000002</v>
          </cell>
          <cell r="K39">
            <v>4.5968999999999998</v>
          </cell>
          <cell r="L39">
            <v>0.80269999999999997</v>
          </cell>
          <cell r="M39">
            <v>0.1719</v>
          </cell>
          <cell r="N39">
            <v>0.2445</v>
          </cell>
        </row>
        <row r="40">
          <cell r="A40">
            <v>35278</v>
          </cell>
          <cell r="B40">
            <v>13.6</v>
          </cell>
          <cell r="C40">
            <v>150</v>
          </cell>
          <cell r="D40" t="str">
            <v>Thirty-sixth</v>
          </cell>
          <cell r="E40">
            <v>2.1000000000000001E-2</v>
          </cell>
          <cell r="F40">
            <v>1.0615000000000001</v>
          </cell>
          <cell r="G40">
            <v>0.5585</v>
          </cell>
          <cell r="H40">
            <v>0.40849999999999997</v>
          </cell>
          <cell r="I40">
            <v>0.49359999999999998</v>
          </cell>
          <cell r="J40">
            <v>0.34360000000000002</v>
          </cell>
          <cell r="K40">
            <v>4.5575000000000001</v>
          </cell>
          <cell r="L40">
            <v>0.80049999999999999</v>
          </cell>
          <cell r="M40">
            <v>0.17130000000000001</v>
          </cell>
          <cell r="N40">
            <v>0.24390000000000001</v>
          </cell>
        </row>
        <row r="41">
          <cell r="A41">
            <v>35309</v>
          </cell>
          <cell r="B41">
            <v>13.6</v>
          </cell>
          <cell r="C41">
            <v>150</v>
          </cell>
          <cell r="D41" t="str">
            <v>Thirty-seventh</v>
          </cell>
          <cell r="E41">
            <v>2.1000000000000001E-2</v>
          </cell>
          <cell r="F41">
            <v>1.0615000000000001</v>
          </cell>
          <cell r="G41">
            <v>0.5585</v>
          </cell>
          <cell r="H41">
            <v>0.40849999999999997</v>
          </cell>
          <cell r="I41">
            <v>0.49359999999999998</v>
          </cell>
          <cell r="J41">
            <v>0.34360000000000002</v>
          </cell>
          <cell r="K41">
            <v>4.7096</v>
          </cell>
          <cell r="L41">
            <v>0.83299999999999996</v>
          </cell>
          <cell r="M41">
            <v>0.18279999999999999</v>
          </cell>
          <cell r="N41">
            <v>0.25540000000000002</v>
          </cell>
        </row>
        <row r="42">
          <cell r="A42">
            <v>35339</v>
          </cell>
          <cell r="B42">
            <v>13.6</v>
          </cell>
          <cell r="C42">
            <v>150</v>
          </cell>
          <cell r="D42" t="str">
            <v>Thirty-eighth</v>
          </cell>
          <cell r="E42">
            <v>2.1000000000000001E-2</v>
          </cell>
          <cell r="F42">
            <v>1.0615000000000001</v>
          </cell>
          <cell r="G42">
            <v>0.5585</v>
          </cell>
          <cell r="H42">
            <v>0.40849999999999997</v>
          </cell>
          <cell r="I42">
            <v>0.49359999999999998</v>
          </cell>
          <cell r="J42">
            <v>0.34360000000000002</v>
          </cell>
          <cell r="K42">
            <v>4.7243000000000004</v>
          </cell>
          <cell r="L42">
            <v>0.85729999999999995</v>
          </cell>
          <cell r="M42">
            <v>0.2155</v>
          </cell>
          <cell r="N42">
            <v>0.26500000000000001</v>
          </cell>
        </row>
        <row r="43">
          <cell r="A43">
            <v>35370</v>
          </cell>
          <cell r="B43">
            <v>13.6</v>
          </cell>
          <cell r="C43">
            <v>150</v>
          </cell>
          <cell r="D43" t="str">
            <v>Thirty-ninth</v>
          </cell>
          <cell r="E43">
            <v>2.1000000000000001E-2</v>
          </cell>
          <cell r="F43">
            <v>1.0615000000000001</v>
          </cell>
          <cell r="G43">
            <v>0.5585</v>
          </cell>
          <cell r="H43">
            <v>0.40849999999999997</v>
          </cell>
          <cell r="I43">
            <v>0.49359999999999998</v>
          </cell>
          <cell r="J43">
            <v>0.34360000000000002</v>
          </cell>
          <cell r="K43">
            <v>4.5213999999999999</v>
          </cell>
          <cell r="L43">
            <v>0.8196</v>
          </cell>
          <cell r="M43">
            <v>0.2054</v>
          </cell>
          <cell r="N43">
            <v>0.25490000000000002</v>
          </cell>
        </row>
        <row r="44">
          <cell r="A44">
            <v>35400</v>
          </cell>
          <cell r="B44">
            <v>13.6</v>
          </cell>
          <cell r="C44">
            <v>150</v>
          </cell>
          <cell r="D44" t="str">
            <v>Fortieth</v>
          </cell>
          <cell r="E44">
            <v>1.9E-2</v>
          </cell>
          <cell r="F44">
            <v>1.0615000000000001</v>
          </cell>
          <cell r="G44">
            <v>0.5585</v>
          </cell>
          <cell r="H44">
            <v>0.40849999999999997</v>
          </cell>
          <cell r="I44">
            <v>0.49359999999999998</v>
          </cell>
          <cell r="J44">
            <v>0.34360000000000002</v>
          </cell>
          <cell r="K44">
            <v>4.375</v>
          </cell>
          <cell r="L44">
            <v>0.79310000000000003</v>
          </cell>
          <cell r="M44">
            <v>0.1988</v>
          </cell>
          <cell r="N44">
            <v>0.24779999999999999</v>
          </cell>
        </row>
        <row r="45">
          <cell r="A45">
            <v>35431</v>
          </cell>
          <cell r="B45">
            <v>13.6</v>
          </cell>
          <cell r="C45">
            <v>150</v>
          </cell>
          <cell r="D45" t="str">
            <v>Forty-First</v>
          </cell>
          <cell r="E45">
            <v>1.9E-2</v>
          </cell>
          <cell r="F45">
            <v>1.0615000000000001</v>
          </cell>
          <cell r="G45">
            <v>0.5585</v>
          </cell>
          <cell r="H45">
            <v>0.40849999999999997</v>
          </cell>
          <cell r="I45">
            <v>0.49359999999999998</v>
          </cell>
          <cell r="J45">
            <v>0.34360000000000002</v>
          </cell>
          <cell r="K45">
            <v>4.375</v>
          </cell>
          <cell r="L45">
            <v>0.80520000000000003</v>
          </cell>
          <cell r="M45">
            <v>0.2109</v>
          </cell>
          <cell r="N45">
            <v>0.25990000000000002</v>
          </cell>
        </row>
        <row r="46">
          <cell r="A46">
            <v>35462</v>
          </cell>
          <cell r="B46">
            <v>13.6</v>
          </cell>
          <cell r="C46">
            <v>150</v>
          </cell>
          <cell r="D46" t="str">
            <v>Forty-Second</v>
          </cell>
          <cell r="E46">
            <v>1.9E-2</v>
          </cell>
          <cell r="F46">
            <v>1.0615000000000001</v>
          </cell>
          <cell r="G46">
            <v>0.5585</v>
          </cell>
          <cell r="H46">
            <v>0.40849999999999997</v>
          </cell>
          <cell r="I46">
            <v>0.49359999999999998</v>
          </cell>
          <cell r="J46">
            <v>0.34360000000000002</v>
          </cell>
          <cell r="K46">
            <v>4.375</v>
          </cell>
          <cell r="L46">
            <v>0.80510000000000004</v>
          </cell>
          <cell r="M46">
            <v>0.21079999999999999</v>
          </cell>
          <cell r="N46">
            <v>0.25979999999999998</v>
          </cell>
        </row>
        <row r="47">
          <cell r="A47">
            <v>35490</v>
          </cell>
          <cell r="B47">
            <v>13.6</v>
          </cell>
          <cell r="C47">
            <v>150</v>
          </cell>
          <cell r="D47" t="str">
            <v>Forty-Third</v>
          </cell>
          <cell r="E47">
            <v>1.9E-2</v>
          </cell>
          <cell r="F47">
            <v>1.0615000000000001</v>
          </cell>
          <cell r="G47">
            <v>0.5585</v>
          </cell>
          <cell r="H47">
            <v>0.40849999999999997</v>
          </cell>
          <cell r="I47">
            <v>0.49359999999999998</v>
          </cell>
          <cell r="J47">
            <v>0.34360000000000002</v>
          </cell>
          <cell r="K47">
            <v>4.3760000000000003</v>
          </cell>
          <cell r="L47">
            <v>0.8054</v>
          </cell>
          <cell r="M47">
            <v>0.2109</v>
          </cell>
          <cell r="N47">
            <v>0.25990000000000002</v>
          </cell>
        </row>
        <row r="48">
          <cell r="A48">
            <v>35521</v>
          </cell>
          <cell r="B48">
            <v>13.6</v>
          </cell>
          <cell r="C48">
            <v>150</v>
          </cell>
          <cell r="D48" t="str">
            <v>Forty-Fourth</v>
          </cell>
          <cell r="E48">
            <v>1.9E-2</v>
          </cell>
          <cell r="F48">
            <v>1.0615000000000001</v>
          </cell>
          <cell r="G48">
            <v>0.5585</v>
          </cell>
          <cell r="H48">
            <v>0.40849999999999997</v>
          </cell>
          <cell r="I48">
            <v>0.49359999999999998</v>
          </cell>
          <cell r="J48">
            <v>0.34360000000000002</v>
          </cell>
          <cell r="K48">
            <v>4.2912999999999997</v>
          </cell>
          <cell r="L48">
            <v>0.78969999999999996</v>
          </cell>
          <cell r="M48">
            <v>0.20669999999999999</v>
          </cell>
          <cell r="N48">
            <v>0.25569999999999998</v>
          </cell>
        </row>
        <row r="49">
          <cell r="A49">
            <v>35551</v>
          </cell>
          <cell r="B49">
            <v>13.6</v>
          </cell>
          <cell r="C49">
            <v>150</v>
          </cell>
          <cell r="D49" t="str">
            <v>Forty-Fifth</v>
          </cell>
          <cell r="E49">
            <v>1.9E-2</v>
          </cell>
          <cell r="F49">
            <v>1.0615000000000001</v>
          </cell>
          <cell r="G49">
            <v>0.5585</v>
          </cell>
          <cell r="H49">
            <v>0.40849999999999997</v>
          </cell>
          <cell r="I49">
            <v>0.49359999999999998</v>
          </cell>
          <cell r="J49">
            <v>0.34360000000000002</v>
          </cell>
          <cell r="K49">
            <v>4.2912999999999997</v>
          </cell>
          <cell r="L49">
            <v>0.78969999999999996</v>
          </cell>
          <cell r="M49">
            <v>0.20669999999999999</v>
          </cell>
          <cell r="N49">
            <v>0.25569999999999998</v>
          </cell>
        </row>
        <row r="50">
          <cell r="A50">
            <v>35582</v>
          </cell>
          <cell r="B50">
            <v>13.6</v>
          </cell>
          <cell r="C50">
            <v>150</v>
          </cell>
          <cell r="D50" t="str">
            <v>Forty-Sixth</v>
          </cell>
          <cell r="E50">
            <v>1.9E-2</v>
          </cell>
          <cell r="F50">
            <v>1.0615000000000001</v>
          </cell>
          <cell r="G50">
            <v>0.5585</v>
          </cell>
          <cell r="H50">
            <v>0.40849999999999997</v>
          </cell>
          <cell r="I50">
            <v>0.49359999999999998</v>
          </cell>
          <cell r="J50">
            <v>0.34360000000000002</v>
          </cell>
          <cell r="K50">
            <v>4.5613000000000001</v>
          </cell>
          <cell r="L50">
            <v>0.89570000000000005</v>
          </cell>
          <cell r="M50">
            <v>0.27610000000000001</v>
          </cell>
          <cell r="N50">
            <v>0.27779999999999999</v>
          </cell>
        </row>
        <row r="51">
          <cell r="A51">
            <v>35612</v>
          </cell>
          <cell r="B51">
            <v>13.6</v>
          </cell>
          <cell r="C51">
            <v>150</v>
          </cell>
          <cell r="D51" t="str">
            <v>Forty-Seventh</v>
          </cell>
          <cell r="E51">
            <v>1.9E-2</v>
          </cell>
          <cell r="F51">
            <v>1.0615000000000001</v>
          </cell>
          <cell r="G51">
            <v>0.5585</v>
          </cell>
          <cell r="H51">
            <v>0.40849999999999997</v>
          </cell>
          <cell r="I51">
            <v>0.49359999999999998</v>
          </cell>
          <cell r="J51">
            <v>0.34360000000000002</v>
          </cell>
          <cell r="K51">
            <v>4.5613000000000001</v>
          </cell>
          <cell r="L51">
            <v>0.84919999999999995</v>
          </cell>
          <cell r="M51">
            <v>0.2296</v>
          </cell>
          <cell r="N51">
            <v>0.26490000000000002</v>
          </cell>
        </row>
        <row r="52">
          <cell r="A52">
            <v>35643</v>
          </cell>
          <cell r="B52">
            <v>13.6</v>
          </cell>
          <cell r="C52">
            <v>150</v>
          </cell>
          <cell r="D52" t="str">
            <v>Forty-Eighth</v>
          </cell>
          <cell r="E52">
            <v>1.9E-2</v>
          </cell>
          <cell r="F52">
            <v>1.0615000000000001</v>
          </cell>
          <cell r="G52">
            <v>0.5585</v>
          </cell>
          <cell r="H52">
            <v>0.40849999999999997</v>
          </cell>
          <cell r="I52">
            <v>0.49359999999999998</v>
          </cell>
          <cell r="J52">
            <v>0.34360000000000002</v>
          </cell>
          <cell r="K52">
            <v>5.3216000000000001</v>
          </cell>
          <cell r="L52">
            <v>0.98919999999999997</v>
          </cell>
          <cell r="M52">
            <v>0.26629999999999998</v>
          </cell>
          <cell r="N52">
            <v>0.30159999999999998</v>
          </cell>
        </row>
        <row r="53">
          <cell r="A53">
            <v>35674</v>
          </cell>
          <cell r="B53">
            <v>13.6</v>
          </cell>
          <cell r="C53">
            <v>150</v>
          </cell>
          <cell r="D53" t="str">
            <v>Forty-Ninth</v>
          </cell>
          <cell r="E53">
            <v>1.9E-2</v>
          </cell>
          <cell r="F53">
            <v>1.0615000000000001</v>
          </cell>
          <cell r="G53">
            <v>0.5585</v>
          </cell>
          <cell r="H53">
            <v>0.40849999999999997</v>
          </cell>
          <cell r="I53">
            <v>0.49359999999999998</v>
          </cell>
          <cell r="J53">
            <v>0.34360000000000002</v>
          </cell>
          <cell r="K53">
            <v>4.5003000000000002</v>
          </cell>
          <cell r="L53">
            <v>0.83699999999999997</v>
          </cell>
          <cell r="M53">
            <v>0.22570000000000001</v>
          </cell>
          <cell r="N53">
            <v>0.26100000000000001</v>
          </cell>
        </row>
        <row r="54">
          <cell r="A54">
            <v>35704</v>
          </cell>
          <cell r="B54">
            <v>13.6</v>
          </cell>
          <cell r="C54">
            <v>150</v>
          </cell>
          <cell r="D54" t="str">
            <v>Fiftieth</v>
          </cell>
          <cell r="E54">
            <v>1.9E-2</v>
          </cell>
          <cell r="F54">
            <v>1.0615000000000001</v>
          </cell>
          <cell r="G54">
            <v>0.5585</v>
          </cell>
          <cell r="H54">
            <v>0.40849999999999997</v>
          </cell>
          <cell r="I54">
            <v>0.49359999999999998</v>
          </cell>
          <cell r="J54">
            <v>0.34360000000000002</v>
          </cell>
          <cell r="K54">
            <v>4.7756999999999996</v>
          </cell>
          <cell r="L54">
            <v>0.85189999999999999</v>
          </cell>
          <cell r="M54">
            <v>0.2329</v>
          </cell>
          <cell r="N54">
            <v>0.26819999999999999</v>
          </cell>
        </row>
        <row r="55">
          <cell r="A55">
            <v>35735</v>
          </cell>
          <cell r="B55">
            <v>13.6</v>
          </cell>
          <cell r="C55">
            <v>150</v>
          </cell>
          <cell r="D55" t="str">
            <v>Fifty-first</v>
          </cell>
          <cell r="E55">
            <v>1.9E-2</v>
          </cell>
          <cell r="F55">
            <v>1.0615000000000001</v>
          </cell>
          <cell r="G55">
            <v>0.5585</v>
          </cell>
          <cell r="H55">
            <v>0.40849999999999997</v>
          </cell>
          <cell r="I55">
            <v>0.49359999999999998</v>
          </cell>
          <cell r="J55">
            <v>0.34360000000000002</v>
          </cell>
          <cell r="K55">
            <v>4.7756999999999996</v>
          </cell>
          <cell r="L55">
            <v>0.85189999999999999</v>
          </cell>
          <cell r="M55">
            <v>0.2329</v>
          </cell>
          <cell r="N55">
            <v>0.26819999999999999</v>
          </cell>
        </row>
        <row r="56">
          <cell r="A56">
            <v>35765</v>
          </cell>
          <cell r="B56">
            <v>13.6</v>
          </cell>
          <cell r="C56">
            <v>150</v>
          </cell>
          <cell r="D56" t="str">
            <v>Fifty-second</v>
          </cell>
          <cell r="E56">
            <v>1.9E-2</v>
          </cell>
          <cell r="F56">
            <v>1.0615000000000001</v>
          </cell>
          <cell r="G56">
            <v>0.5585</v>
          </cell>
          <cell r="H56">
            <v>0.40849999999999997</v>
          </cell>
          <cell r="I56">
            <v>0.49359999999999998</v>
          </cell>
          <cell r="J56">
            <v>0.34360000000000002</v>
          </cell>
          <cell r="K56">
            <v>5.6473000000000004</v>
          </cell>
          <cell r="L56">
            <v>1.0055000000000001</v>
          </cell>
          <cell r="M56">
            <v>0.27350000000000002</v>
          </cell>
          <cell r="N56">
            <v>0.30880000000000002</v>
          </cell>
        </row>
        <row r="57">
          <cell r="A57">
            <v>35796</v>
          </cell>
          <cell r="B57">
            <v>13.6</v>
          </cell>
          <cell r="C57">
            <v>150</v>
          </cell>
          <cell r="D57" t="str">
            <v>Fifty-third</v>
          </cell>
          <cell r="E57">
            <v>1.6E-2</v>
          </cell>
          <cell r="F57">
            <v>1.0615000000000001</v>
          </cell>
          <cell r="G57">
            <v>0.5585</v>
          </cell>
          <cell r="H57">
            <v>0.40849999999999997</v>
          </cell>
          <cell r="I57">
            <v>0.49359999999999998</v>
          </cell>
          <cell r="J57">
            <v>0.34360000000000002</v>
          </cell>
          <cell r="K57">
            <v>5.6473000000000004</v>
          </cell>
          <cell r="L57">
            <v>1.0055000000000001</v>
          </cell>
          <cell r="M57">
            <v>0.27350000000000002</v>
          </cell>
          <cell r="N57">
            <v>0.30880000000000002</v>
          </cell>
        </row>
        <row r="58">
          <cell r="A58">
            <v>35827</v>
          </cell>
          <cell r="B58">
            <v>13.6</v>
          </cell>
          <cell r="C58">
            <v>150</v>
          </cell>
          <cell r="D58" t="str">
            <v>Fifty-fourth</v>
          </cell>
          <cell r="E58">
            <v>1.6E-2</v>
          </cell>
          <cell r="F58">
            <v>1.0615000000000001</v>
          </cell>
          <cell r="G58">
            <v>0.5585</v>
          </cell>
          <cell r="H58">
            <v>0.40849999999999997</v>
          </cell>
          <cell r="I58">
            <v>0.49359999999999998</v>
          </cell>
          <cell r="J58">
            <v>0.34360000000000002</v>
          </cell>
          <cell r="K58">
            <v>5.6473000000000004</v>
          </cell>
          <cell r="L58">
            <v>1.0055000000000001</v>
          </cell>
          <cell r="M58">
            <v>0.27350000000000002</v>
          </cell>
          <cell r="N58">
            <v>0.30880000000000002</v>
          </cell>
        </row>
        <row r="59">
          <cell r="A59">
            <v>35855</v>
          </cell>
          <cell r="B59">
            <v>13.6</v>
          </cell>
          <cell r="C59">
            <v>150</v>
          </cell>
          <cell r="D59" t="str">
            <v>Fifty-fifth</v>
          </cell>
          <cell r="E59">
            <v>1.6E-2</v>
          </cell>
          <cell r="F59">
            <v>1.0615000000000001</v>
          </cell>
          <cell r="G59">
            <v>0.5585</v>
          </cell>
          <cell r="H59">
            <v>0.40849999999999997</v>
          </cell>
          <cell r="I59">
            <v>0.49359999999999998</v>
          </cell>
          <cell r="J59">
            <v>0.34360000000000002</v>
          </cell>
          <cell r="K59">
            <v>4.9629000000000003</v>
          </cell>
          <cell r="L59">
            <v>0.85660000000000003</v>
          </cell>
          <cell r="M59">
            <v>0.21329999999999999</v>
          </cell>
          <cell r="N59">
            <v>0.24859999999999999</v>
          </cell>
        </row>
        <row r="60">
          <cell r="A60">
            <v>35886</v>
          </cell>
          <cell r="B60">
            <v>13.6</v>
          </cell>
          <cell r="C60">
            <v>150</v>
          </cell>
          <cell r="D60" t="str">
            <v>Fifty-sixth</v>
          </cell>
          <cell r="E60">
            <v>1.6E-2</v>
          </cell>
          <cell r="F60">
            <v>1.0615000000000001</v>
          </cell>
          <cell r="G60">
            <v>0.5585</v>
          </cell>
          <cell r="H60">
            <v>0.40849999999999997</v>
          </cell>
          <cell r="I60">
            <v>0.49359999999999998</v>
          </cell>
          <cell r="J60">
            <v>0.34360000000000002</v>
          </cell>
          <cell r="K60">
            <v>4.6656000000000004</v>
          </cell>
          <cell r="L60">
            <v>0.79020000000000001</v>
          </cell>
          <cell r="M60">
            <v>0.1867</v>
          </cell>
          <cell r="N60">
            <v>0.222</v>
          </cell>
        </row>
        <row r="61">
          <cell r="A61">
            <v>35916</v>
          </cell>
          <cell r="B61">
            <v>13.6</v>
          </cell>
          <cell r="C61">
            <v>150</v>
          </cell>
          <cell r="D61" t="str">
            <v>Fifty-seventh</v>
          </cell>
          <cell r="E61">
            <v>1.6E-2</v>
          </cell>
          <cell r="F61">
            <v>1.0615000000000001</v>
          </cell>
          <cell r="G61">
            <v>0.5585</v>
          </cell>
          <cell r="H61">
            <v>0.40849999999999997</v>
          </cell>
          <cell r="I61">
            <v>0.49359999999999998</v>
          </cell>
          <cell r="J61">
            <v>0.34360000000000002</v>
          </cell>
          <cell r="K61">
            <v>4.6555999999999997</v>
          </cell>
          <cell r="L61">
            <v>0.79020000000000001</v>
          </cell>
          <cell r="M61">
            <v>0.1867</v>
          </cell>
          <cell r="N61">
            <v>0.222</v>
          </cell>
        </row>
        <row r="62">
          <cell r="A62">
            <v>35947</v>
          </cell>
          <cell r="B62">
            <v>13.6</v>
          </cell>
          <cell r="C62">
            <v>150</v>
          </cell>
          <cell r="D62" t="str">
            <v>Fifty-eighth</v>
          </cell>
          <cell r="E62">
            <v>1.6E-2</v>
          </cell>
          <cell r="F62">
            <v>1.0615000000000001</v>
          </cell>
          <cell r="G62">
            <v>0.5585</v>
          </cell>
          <cell r="H62">
            <v>0.40849999999999997</v>
          </cell>
          <cell r="I62">
            <v>0.49359999999999998</v>
          </cell>
          <cell r="J62">
            <v>0.34360000000000002</v>
          </cell>
          <cell r="K62">
            <v>4.6555999999999997</v>
          </cell>
          <cell r="L62">
            <v>0.83899999999999997</v>
          </cell>
          <cell r="M62">
            <v>0.23549999999999999</v>
          </cell>
          <cell r="N62">
            <v>0.23549999999999999</v>
          </cell>
        </row>
        <row r="63">
          <cell r="A63">
            <v>35977</v>
          </cell>
          <cell r="B63">
            <v>13.6</v>
          </cell>
          <cell r="C63">
            <v>150</v>
          </cell>
          <cell r="D63" t="str">
            <v>Fifty-ninth</v>
          </cell>
          <cell r="E63">
            <v>1.6E-2</v>
          </cell>
          <cell r="F63">
            <v>1.0615000000000001</v>
          </cell>
          <cell r="G63">
            <v>0.5585</v>
          </cell>
          <cell r="H63">
            <v>0.40849999999999997</v>
          </cell>
          <cell r="I63">
            <v>0.49359999999999998</v>
          </cell>
          <cell r="J63">
            <v>0.34360000000000002</v>
          </cell>
          <cell r="K63">
            <v>4.6656000000000004</v>
          </cell>
          <cell r="L63">
            <v>0.83599999999999997</v>
          </cell>
          <cell r="M63">
            <v>0.23250000000000001</v>
          </cell>
          <cell r="N63">
            <v>0.23469999999999999</v>
          </cell>
        </row>
        <row r="64">
          <cell r="A64">
            <v>36008</v>
          </cell>
          <cell r="B64">
            <v>13.6</v>
          </cell>
          <cell r="C64">
            <v>150</v>
          </cell>
          <cell r="D64" t="str">
            <v>Sixtieth</v>
          </cell>
          <cell r="E64">
            <v>1.6E-2</v>
          </cell>
          <cell r="F64">
            <v>1.0615000000000001</v>
          </cell>
          <cell r="G64">
            <v>0.5585</v>
          </cell>
          <cell r="H64">
            <v>0.40849999999999997</v>
          </cell>
          <cell r="I64">
            <v>0.49359999999999998</v>
          </cell>
          <cell r="J64">
            <v>0.34360000000000002</v>
          </cell>
          <cell r="K64">
            <v>4.6656000000000004</v>
          </cell>
          <cell r="L64">
            <v>0.83599999999999997</v>
          </cell>
          <cell r="M64">
            <v>0.23250000000000001</v>
          </cell>
          <cell r="N64">
            <v>0.23469999999999999</v>
          </cell>
        </row>
        <row r="65">
          <cell r="A65">
            <v>36039</v>
          </cell>
          <cell r="B65">
            <v>13.6</v>
          </cell>
          <cell r="C65">
            <v>150</v>
          </cell>
          <cell r="D65" t="str">
            <v>Sixty-first</v>
          </cell>
          <cell r="E65">
            <v>1.6E-2</v>
          </cell>
          <cell r="F65">
            <v>1.0615000000000001</v>
          </cell>
          <cell r="G65">
            <v>0.5585</v>
          </cell>
          <cell r="H65">
            <v>0.40849999999999997</v>
          </cell>
          <cell r="I65">
            <v>0.49359999999999998</v>
          </cell>
          <cell r="J65">
            <v>0.34360000000000002</v>
          </cell>
          <cell r="K65">
            <v>4.6555999999999997</v>
          </cell>
          <cell r="L65">
            <v>0.83599999999999997</v>
          </cell>
          <cell r="M65">
            <v>0.23250000000000001</v>
          </cell>
          <cell r="N65">
            <v>0.23469999999999999</v>
          </cell>
        </row>
        <row r="66">
          <cell r="A66">
            <v>36069</v>
          </cell>
          <cell r="B66">
            <v>13.6</v>
          </cell>
          <cell r="C66">
            <v>150</v>
          </cell>
          <cell r="D66" t="str">
            <v>Sixty-second</v>
          </cell>
          <cell r="E66">
            <v>1.6E-2</v>
          </cell>
          <cell r="F66">
            <v>1.0615000000000001</v>
          </cell>
          <cell r="G66">
            <v>0.5585</v>
          </cell>
          <cell r="H66">
            <v>0.40849999999999997</v>
          </cell>
          <cell r="I66">
            <v>0.49359999999999998</v>
          </cell>
          <cell r="J66">
            <v>0.34360000000000002</v>
          </cell>
          <cell r="K66">
            <v>4.6555999999999997</v>
          </cell>
          <cell r="L66">
            <v>0.83599999999999997</v>
          </cell>
          <cell r="M66">
            <v>0.23250000000000001</v>
          </cell>
          <cell r="N66">
            <v>0.23469999999999999</v>
          </cell>
        </row>
        <row r="67">
          <cell r="A67">
            <v>36100</v>
          </cell>
          <cell r="B67">
            <v>13.6</v>
          </cell>
          <cell r="C67">
            <v>150</v>
          </cell>
          <cell r="D67" t="str">
            <v>Sixty-third</v>
          </cell>
          <cell r="E67">
            <v>1.6E-2</v>
          </cell>
          <cell r="F67">
            <v>1.0615000000000001</v>
          </cell>
          <cell r="G67">
            <v>0.5585</v>
          </cell>
          <cell r="H67">
            <v>0.40849999999999997</v>
          </cell>
          <cell r="I67">
            <v>0.49359999999999998</v>
          </cell>
          <cell r="J67">
            <v>0.34360000000000002</v>
          </cell>
          <cell r="K67">
            <v>4.2808999999999999</v>
          </cell>
          <cell r="L67">
            <v>0.76990000000000003</v>
          </cell>
          <cell r="M67">
            <v>0.215</v>
          </cell>
          <cell r="N67">
            <v>0.2172</v>
          </cell>
        </row>
        <row r="68">
          <cell r="A68">
            <v>36130</v>
          </cell>
          <cell r="B68">
            <v>13.6</v>
          </cell>
          <cell r="C68">
            <v>150</v>
          </cell>
          <cell r="D68" t="str">
            <v>Sixty-fourth</v>
          </cell>
          <cell r="E68">
            <v>1.6E-2</v>
          </cell>
          <cell r="F68">
            <v>1.0615000000000001</v>
          </cell>
          <cell r="G68">
            <v>0.5585</v>
          </cell>
          <cell r="H68">
            <v>0.40849999999999997</v>
          </cell>
          <cell r="I68">
            <v>0.49359999999999998</v>
          </cell>
          <cell r="J68">
            <v>0.34360000000000002</v>
          </cell>
          <cell r="K68">
            <v>4.2808999999999999</v>
          </cell>
          <cell r="L68">
            <v>0.76990000000000003</v>
          </cell>
          <cell r="M68">
            <v>0.215</v>
          </cell>
          <cell r="N68">
            <v>0.2172</v>
          </cell>
        </row>
        <row r="69">
          <cell r="A69">
            <v>36161</v>
          </cell>
          <cell r="B69">
            <v>13.6</v>
          </cell>
          <cell r="C69">
            <v>150</v>
          </cell>
          <cell r="D69" t="str">
            <v>Sixty-fifth</v>
          </cell>
          <cell r="E69">
            <v>1.9E-2</v>
          </cell>
          <cell r="F69">
            <v>1.0615000000000001</v>
          </cell>
          <cell r="G69">
            <v>0.5585</v>
          </cell>
          <cell r="H69">
            <v>0.40849999999999997</v>
          </cell>
          <cell r="I69">
            <v>0.49359999999999998</v>
          </cell>
          <cell r="J69">
            <v>0.34360000000000002</v>
          </cell>
          <cell r="K69">
            <v>4.2808999999999999</v>
          </cell>
          <cell r="L69">
            <v>0.76990000000000003</v>
          </cell>
          <cell r="M69">
            <v>0.215</v>
          </cell>
          <cell r="N69">
            <v>0.2172</v>
          </cell>
        </row>
        <row r="70">
          <cell r="A70">
            <v>36192</v>
          </cell>
          <cell r="B70">
            <v>13.6</v>
          </cell>
          <cell r="C70">
            <v>150</v>
          </cell>
          <cell r="D70" t="str">
            <v>Sixty-sixth</v>
          </cell>
          <cell r="E70">
            <v>1.9E-2</v>
          </cell>
          <cell r="F70">
            <v>1.0615000000000001</v>
          </cell>
          <cell r="G70">
            <v>0.5585</v>
          </cell>
          <cell r="H70">
            <v>0.40849999999999997</v>
          </cell>
          <cell r="I70">
            <v>0.49359999999999998</v>
          </cell>
          <cell r="J70">
            <v>0.34360000000000002</v>
          </cell>
          <cell r="K70">
            <v>4.2808999999999999</v>
          </cell>
          <cell r="L70">
            <v>0.76990000000000003</v>
          </cell>
          <cell r="M70">
            <v>0.215</v>
          </cell>
          <cell r="N70">
            <v>0.2172</v>
          </cell>
        </row>
        <row r="71">
          <cell r="A71">
            <v>36220</v>
          </cell>
          <cell r="B71">
            <v>13.6</v>
          </cell>
          <cell r="C71">
            <v>150</v>
          </cell>
          <cell r="D71" t="str">
            <v>Sixty-seventh</v>
          </cell>
          <cell r="E71">
            <v>1.9E-2</v>
          </cell>
          <cell r="F71">
            <v>1.0615000000000001</v>
          </cell>
          <cell r="G71">
            <v>0.5585</v>
          </cell>
          <cell r="H71">
            <v>0.40849999999999997</v>
          </cell>
          <cell r="I71">
            <v>0.49359999999999998</v>
          </cell>
          <cell r="J71">
            <v>0.34360000000000002</v>
          </cell>
          <cell r="K71">
            <v>4.2808999999999999</v>
          </cell>
          <cell r="L71">
            <v>0.76990000000000003</v>
          </cell>
          <cell r="M71">
            <v>0.215</v>
          </cell>
          <cell r="N71">
            <v>0.2172</v>
          </cell>
        </row>
        <row r="72">
          <cell r="A72">
            <v>36251</v>
          </cell>
          <cell r="B72">
            <v>13.6</v>
          </cell>
          <cell r="C72">
            <v>150</v>
          </cell>
          <cell r="D72" t="str">
            <v>Sixty-eighth</v>
          </cell>
          <cell r="E72">
            <v>1.9E-2</v>
          </cell>
          <cell r="F72">
            <v>1.0615000000000001</v>
          </cell>
          <cell r="G72">
            <v>0.5585</v>
          </cell>
          <cell r="H72">
            <v>0.40849999999999997</v>
          </cell>
          <cell r="I72">
            <v>0.49359999999999998</v>
          </cell>
          <cell r="J72">
            <v>0.34360000000000002</v>
          </cell>
          <cell r="K72">
            <v>4.2808999999999999</v>
          </cell>
          <cell r="L72">
            <v>0.72870000000000001</v>
          </cell>
          <cell r="M72">
            <v>0.17380000000000001</v>
          </cell>
          <cell r="N72">
            <v>0.20619999999999999</v>
          </cell>
        </row>
        <row r="73">
          <cell r="A73">
            <v>36281</v>
          </cell>
          <cell r="B73">
            <v>13.6</v>
          </cell>
          <cell r="C73">
            <v>150</v>
          </cell>
          <cell r="D73" t="str">
            <v>Sixty-ninth</v>
          </cell>
          <cell r="E73">
            <v>1.9E-2</v>
          </cell>
          <cell r="F73">
            <v>1.0615000000000001</v>
          </cell>
          <cell r="G73">
            <v>0.5585</v>
          </cell>
          <cell r="H73">
            <v>0.40849999999999997</v>
          </cell>
          <cell r="I73">
            <v>0.49359999999999998</v>
          </cell>
          <cell r="J73">
            <v>0.34360000000000002</v>
          </cell>
          <cell r="K73">
            <v>4.2808999999999999</v>
          </cell>
          <cell r="L73">
            <v>0.72870000000000001</v>
          </cell>
          <cell r="M73">
            <v>0.17380000000000001</v>
          </cell>
          <cell r="N73">
            <v>0.20619999999999999</v>
          </cell>
        </row>
        <row r="74">
          <cell r="A74">
            <v>36312</v>
          </cell>
          <cell r="B74">
            <v>13.6</v>
          </cell>
          <cell r="C74">
            <v>150</v>
          </cell>
          <cell r="D74" t="str">
            <v>Seventieth</v>
          </cell>
          <cell r="E74">
            <v>1.9E-2</v>
          </cell>
          <cell r="F74">
            <v>1.0615000000000001</v>
          </cell>
          <cell r="G74">
            <v>0.5585</v>
          </cell>
          <cell r="H74">
            <v>0.40849999999999997</v>
          </cell>
          <cell r="I74">
            <v>0.49359999999999998</v>
          </cell>
          <cell r="J74">
            <v>0.34360000000000002</v>
          </cell>
          <cell r="K74">
            <v>4.2808999999999999</v>
          </cell>
          <cell r="L74">
            <v>0.72870000000000001</v>
          </cell>
          <cell r="M74">
            <v>0.17380000000000001</v>
          </cell>
          <cell r="N74">
            <v>0.20619999999999999</v>
          </cell>
        </row>
        <row r="75">
          <cell r="A75">
            <v>36342</v>
          </cell>
          <cell r="B75">
            <v>13.6</v>
          </cell>
          <cell r="C75">
            <v>150</v>
          </cell>
          <cell r="D75" t="str">
            <v>Seventy-first</v>
          </cell>
          <cell r="E75">
            <v>1.9E-2</v>
          </cell>
          <cell r="F75">
            <v>1.0615000000000001</v>
          </cell>
          <cell r="G75">
            <v>0.5585</v>
          </cell>
          <cell r="H75">
            <v>0.40849999999999997</v>
          </cell>
          <cell r="I75">
            <v>0.49359999999999998</v>
          </cell>
          <cell r="J75">
            <v>0.34360000000000002</v>
          </cell>
          <cell r="K75">
            <v>4.2808999999999999</v>
          </cell>
          <cell r="L75">
            <v>0.73170000000000002</v>
          </cell>
          <cell r="M75">
            <v>0.17680000000000001</v>
          </cell>
          <cell r="N75">
            <v>0.20699999999999999</v>
          </cell>
        </row>
        <row r="76">
          <cell r="A76">
            <v>36373</v>
          </cell>
          <cell r="B76">
            <v>13.6</v>
          </cell>
          <cell r="C76">
            <v>150</v>
          </cell>
          <cell r="D76" t="str">
            <v>Seventy-second</v>
          </cell>
          <cell r="E76">
            <v>1.9E-2</v>
          </cell>
          <cell r="F76">
            <v>1.0615000000000001</v>
          </cell>
          <cell r="G76">
            <v>0.5585</v>
          </cell>
          <cell r="H76">
            <v>0.40849999999999997</v>
          </cell>
          <cell r="I76">
            <v>0.49359999999999998</v>
          </cell>
          <cell r="J76">
            <v>0.34360000000000002</v>
          </cell>
          <cell r="K76">
            <v>4.2808999999999999</v>
          </cell>
          <cell r="L76">
            <v>0.73170000000000002</v>
          </cell>
          <cell r="M76">
            <v>0.17680000000000001</v>
          </cell>
          <cell r="N76">
            <v>0.20699999999999999</v>
          </cell>
        </row>
        <row r="77">
          <cell r="A77">
            <v>36404</v>
          </cell>
          <cell r="B77">
            <v>13.6</v>
          </cell>
          <cell r="C77">
            <v>150</v>
          </cell>
          <cell r="D77" t="str">
            <v>Seventy-third</v>
          </cell>
          <cell r="E77">
            <v>1.9E-2</v>
          </cell>
          <cell r="F77">
            <v>1.0615000000000001</v>
          </cell>
          <cell r="G77">
            <v>0.5585</v>
          </cell>
          <cell r="H77">
            <v>0.40849999999999997</v>
          </cell>
          <cell r="I77">
            <v>0.49359999999999998</v>
          </cell>
          <cell r="J77">
            <v>0.34360000000000002</v>
          </cell>
          <cell r="K77">
            <v>4.2808999999999999</v>
          </cell>
          <cell r="L77">
            <v>0.73170000000000002</v>
          </cell>
          <cell r="M77">
            <v>0.17680000000000001</v>
          </cell>
          <cell r="N77">
            <v>0.20699999999999999</v>
          </cell>
        </row>
        <row r="78">
          <cell r="A78">
            <v>36434</v>
          </cell>
          <cell r="B78">
            <v>13.6</v>
          </cell>
          <cell r="C78">
            <v>150</v>
          </cell>
          <cell r="D78" t="str">
            <v>Seventy-fourth</v>
          </cell>
          <cell r="E78">
            <v>1.9E-2</v>
          </cell>
          <cell r="F78">
            <v>1.0615000000000001</v>
          </cell>
          <cell r="G78">
            <v>0.5585</v>
          </cell>
          <cell r="H78">
            <v>0.40849999999999997</v>
          </cell>
          <cell r="I78">
            <v>0.49359999999999998</v>
          </cell>
          <cell r="J78">
            <v>0.34360000000000002</v>
          </cell>
          <cell r="K78">
            <v>4.2808999999999999</v>
          </cell>
          <cell r="L78">
            <v>0.73170000000000002</v>
          </cell>
          <cell r="M78">
            <v>0.17680000000000001</v>
          </cell>
          <cell r="N78">
            <v>0.20699999999999999</v>
          </cell>
        </row>
        <row r="79">
          <cell r="A79">
            <v>36465</v>
          </cell>
          <cell r="B79">
            <v>13.6</v>
          </cell>
          <cell r="C79">
            <v>150</v>
          </cell>
          <cell r="D79" t="str">
            <v>Seventy-fifth</v>
          </cell>
          <cell r="E79">
            <v>1.9E-2</v>
          </cell>
          <cell r="F79">
            <v>1.0615000000000001</v>
          </cell>
          <cell r="G79">
            <v>0.5585</v>
          </cell>
          <cell r="H79">
            <v>0.40849999999999997</v>
          </cell>
          <cell r="I79">
            <v>0.49359999999999998</v>
          </cell>
          <cell r="J79">
            <v>0.34360000000000002</v>
          </cell>
          <cell r="K79">
            <v>4.3211000000000004</v>
          </cell>
          <cell r="L79">
            <v>0.72319999999999995</v>
          </cell>
          <cell r="M79">
            <v>0.16309999999999999</v>
          </cell>
          <cell r="N79">
            <v>0.1933</v>
          </cell>
        </row>
        <row r="80">
          <cell r="A80">
            <v>36495</v>
          </cell>
          <cell r="B80">
            <v>13.6</v>
          </cell>
          <cell r="C80">
            <v>150</v>
          </cell>
          <cell r="D80" t="str">
            <v>Seventy-sixth</v>
          </cell>
          <cell r="E80">
            <v>1.9E-2</v>
          </cell>
          <cell r="F80">
            <v>1.0615000000000001</v>
          </cell>
          <cell r="G80">
            <v>0.5585</v>
          </cell>
          <cell r="H80">
            <v>0.40849999999999997</v>
          </cell>
          <cell r="I80">
            <v>0.49359999999999998</v>
          </cell>
          <cell r="J80">
            <v>0.34360000000000002</v>
          </cell>
          <cell r="K80">
            <v>4.2945000000000002</v>
          </cell>
          <cell r="L80">
            <v>0.71860000000000002</v>
          </cell>
          <cell r="M80">
            <v>0.16189999999999999</v>
          </cell>
          <cell r="N80">
            <v>0.19209999999999999</v>
          </cell>
        </row>
        <row r="81">
          <cell r="A81">
            <v>36515</v>
          </cell>
          <cell r="B81">
            <v>20</v>
          </cell>
          <cell r="C81">
            <v>220</v>
          </cell>
          <cell r="D81" t="str">
            <v>Seventy-seventh</v>
          </cell>
          <cell r="E81">
            <v>1.9E-2</v>
          </cell>
          <cell r="F81">
            <v>1.19</v>
          </cell>
          <cell r="G81">
            <v>0.65900000000000003</v>
          </cell>
          <cell r="H81">
            <v>0.43</v>
          </cell>
          <cell r="I81">
            <v>0.53</v>
          </cell>
          <cell r="J81">
            <v>0.35909999999999997</v>
          </cell>
          <cell r="K81">
            <v>4.2945000000000002</v>
          </cell>
          <cell r="L81">
            <v>0.71860000000000002</v>
          </cell>
          <cell r="M81">
            <v>0.16189999999999999</v>
          </cell>
          <cell r="N81">
            <v>0.19209999999999999</v>
          </cell>
        </row>
        <row r="82">
          <cell r="A82">
            <v>36526</v>
          </cell>
          <cell r="B82">
            <v>20</v>
          </cell>
          <cell r="C82">
            <v>220</v>
          </cell>
          <cell r="D82" t="str">
            <v>Seventy-seventh</v>
          </cell>
          <cell r="E82">
            <v>1.9E-2</v>
          </cell>
          <cell r="F82">
            <v>1.19</v>
          </cell>
          <cell r="G82">
            <v>0.65900000000000003</v>
          </cell>
          <cell r="H82">
            <v>0.43</v>
          </cell>
          <cell r="I82">
            <v>0.53</v>
          </cell>
          <cell r="J82">
            <v>0.35909999999999997</v>
          </cell>
          <cell r="K82">
            <v>4.2945000000000002</v>
          </cell>
          <cell r="L82">
            <v>0.71860000000000002</v>
          </cell>
          <cell r="M82">
            <v>0.16189999999999999</v>
          </cell>
          <cell r="N82">
            <v>0.19209999999999999</v>
          </cell>
        </row>
        <row r="83">
          <cell r="A83">
            <v>36557</v>
          </cell>
          <cell r="B83">
            <v>20</v>
          </cell>
          <cell r="C83">
            <v>220</v>
          </cell>
          <cell r="D83" t="str">
            <v>Seventy-eighth</v>
          </cell>
          <cell r="E83">
            <v>1.9E-2</v>
          </cell>
          <cell r="F83">
            <v>1.19</v>
          </cell>
          <cell r="G83">
            <v>0.65900000000000003</v>
          </cell>
          <cell r="H83">
            <v>0.43</v>
          </cell>
          <cell r="I83">
            <v>0.53</v>
          </cell>
          <cell r="J83">
            <v>0.35909999999999997</v>
          </cell>
          <cell r="K83">
            <v>4.3144999999999998</v>
          </cell>
          <cell r="L83">
            <v>0.72209999999999996</v>
          </cell>
          <cell r="M83">
            <v>0.1628</v>
          </cell>
          <cell r="N83">
            <v>0.193</v>
          </cell>
        </row>
        <row r="84">
          <cell r="A84">
            <v>36586</v>
          </cell>
          <cell r="B84">
            <v>20</v>
          </cell>
          <cell r="C84">
            <v>220</v>
          </cell>
          <cell r="D84" t="str">
            <v>Seventy-eighth</v>
          </cell>
          <cell r="E84">
            <v>1.9E-2</v>
          </cell>
          <cell r="F84">
            <v>1.19</v>
          </cell>
          <cell r="G84">
            <v>0.65900000000000003</v>
          </cell>
          <cell r="H84">
            <v>0.43</v>
          </cell>
          <cell r="I84">
            <v>0.53</v>
          </cell>
          <cell r="J84">
            <v>0.35909999999999997</v>
          </cell>
          <cell r="K84">
            <v>4.3144999999999998</v>
          </cell>
          <cell r="L84">
            <v>0.72209999999999996</v>
          </cell>
          <cell r="M84">
            <v>0.1628</v>
          </cell>
          <cell r="N84">
            <v>0.193</v>
          </cell>
        </row>
        <row r="85">
          <cell r="A85">
            <v>36617</v>
          </cell>
          <cell r="B85">
            <v>20</v>
          </cell>
          <cell r="C85">
            <v>220</v>
          </cell>
          <cell r="D85" t="str">
            <v>Seventy-ninth</v>
          </cell>
          <cell r="E85">
            <v>1.9E-2</v>
          </cell>
          <cell r="F85">
            <v>1.19</v>
          </cell>
          <cell r="G85">
            <v>0.65900000000000003</v>
          </cell>
          <cell r="H85">
            <v>0.43</v>
          </cell>
          <cell r="I85">
            <v>0.53</v>
          </cell>
          <cell r="J85">
            <v>0.35909999999999997</v>
          </cell>
          <cell r="K85">
            <v>4.3144999999999998</v>
          </cell>
          <cell r="L85">
            <v>0.76329999999999998</v>
          </cell>
          <cell r="M85">
            <v>0.20399999999999999</v>
          </cell>
          <cell r="N85">
            <v>0.20399999999999999</v>
          </cell>
        </row>
        <row r="86">
          <cell r="A86">
            <v>36647</v>
          </cell>
          <cell r="B86">
            <v>20</v>
          </cell>
          <cell r="C86">
            <v>220</v>
          </cell>
          <cell r="D86" t="str">
            <v>Eightieth</v>
          </cell>
          <cell r="E86">
            <v>1.9E-2</v>
          </cell>
          <cell r="F86">
            <v>1.19</v>
          </cell>
          <cell r="G86">
            <v>0.65900000000000003</v>
          </cell>
          <cell r="H86">
            <v>0.43</v>
          </cell>
          <cell r="I86">
            <v>0.53</v>
          </cell>
          <cell r="J86">
            <v>0.35909999999999997</v>
          </cell>
          <cell r="K86">
            <v>4.3144999999999998</v>
          </cell>
          <cell r="L86">
            <v>0.76329999999999998</v>
          </cell>
          <cell r="M86">
            <v>0.20399999999999999</v>
          </cell>
          <cell r="N86">
            <v>0.20399999999999999</v>
          </cell>
        </row>
        <row r="87">
          <cell r="A87">
            <v>36678</v>
          </cell>
          <cell r="B87">
            <v>20</v>
          </cell>
          <cell r="C87">
            <v>220</v>
          </cell>
          <cell r="D87" t="str">
            <v>Eightieth</v>
          </cell>
          <cell r="E87">
            <v>1.9E-2</v>
          </cell>
          <cell r="F87">
            <v>1.19</v>
          </cell>
          <cell r="G87">
            <v>0.65900000000000003</v>
          </cell>
          <cell r="H87">
            <v>0.43</v>
          </cell>
          <cell r="I87">
            <v>0.53</v>
          </cell>
          <cell r="J87">
            <v>0.35909999999999997</v>
          </cell>
          <cell r="K87">
            <v>4.3144999999999998</v>
          </cell>
          <cell r="L87">
            <v>0.76329999999999998</v>
          </cell>
          <cell r="M87">
            <v>0.20399999999999999</v>
          </cell>
          <cell r="N87">
            <v>0.20399999999999999</v>
          </cell>
        </row>
        <row r="88">
          <cell r="A88">
            <v>36708</v>
          </cell>
          <cell r="B88">
            <v>20</v>
          </cell>
          <cell r="C88">
            <v>220</v>
          </cell>
          <cell r="D88" t="str">
            <v>Eighty-first</v>
          </cell>
          <cell r="E88">
            <v>1.9E-2</v>
          </cell>
          <cell r="F88">
            <v>1.19</v>
          </cell>
          <cell r="G88">
            <v>0.65900000000000003</v>
          </cell>
          <cell r="H88">
            <v>0.43</v>
          </cell>
          <cell r="I88">
            <v>0.53</v>
          </cell>
          <cell r="J88">
            <v>0.35909999999999997</v>
          </cell>
          <cell r="K88">
            <v>4.3144999999999998</v>
          </cell>
          <cell r="L88">
            <v>0.76329999999999998</v>
          </cell>
          <cell r="M88">
            <v>0.20399999999999999</v>
          </cell>
          <cell r="N88">
            <v>0.20399999999999999</v>
          </cell>
        </row>
        <row r="89">
          <cell r="A89">
            <v>36739</v>
          </cell>
          <cell r="B89">
            <v>20</v>
          </cell>
          <cell r="C89">
            <v>220</v>
          </cell>
          <cell r="D89" t="str">
            <v>Eighty-second</v>
          </cell>
          <cell r="E89">
            <v>1.9E-2</v>
          </cell>
          <cell r="F89">
            <v>1.19</v>
          </cell>
          <cell r="G89">
            <v>0.65900000000000003</v>
          </cell>
          <cell r="H89">
            <v>0.43</v>
          </cell>
          <cell r="I89">
            <v>0.53</v>
          </cell>
          <cell r="J89">
            <v>0.35909999999999997</v>
          </cell>
          <cell r="K89">
            <v>4.3144999999999998</v>
          </cell>
          <cell r="L89">
            <v>0.76329999999999998</v>
          </cell>
          <cell r="M89">
            <v>0.20399999999999999</v>
          </cell>
          <cell r="N89">
            <v>0.20399999999999999</v>
          </cell>
        </row>
        <row r="90">
          <cell r="A90">
            <v>36770</v>
          </cell>
          <cell r="B90">
            <v>20</v>
          </cell>
          <cell r="C90">
            <v>220</v>
          </cell>
          <cell r="D90" t="str">
            <v>Eighty-second</v>
          </cell>
          <cell r="E90">
            <v>1.9E-2</v>
          </cell>
          <cell r="F90">
            <v>1.19</v>
          </cell>
          <cell r="G90">
            <v>0.65900000000000003</v>
          </cell>
          <cell r="H90">
            <v>0.43</v>
          </cell>
          <cell r="I90">
            <v>0.53</v>
          </cell>
          <cell r="J90">
            <v>0.35909999999999997</v>
          </cell>
          <cell r="K90">
            <v>4.3144999999999998</v>
          </cell>
          <cell r="L90">
            <v>0.76329999999999998</v>
          </cell>
          <cell r="M90">
            <v>0.20399999999999999</v>
          </cell>
          <cell r="N90">
            <v>0.20399999999999999</v>
          </cell>
        </row>
        <row r="91">
          <cell r="A91">
            <v>36800</v>
          </cell>
          <cell r="B91">
            <v>20</v>
          </cell>
          <cell r="C91">
            <v>220</v>
          </cell>
          <cell r="D91" t="str">
            <v>Eighty-third</v>
          </cell>
          <cell r="E91">
            <v>1.9E-2</v>
          </cell>
          <cell r="F91">
            <v>1.19</v>
          </cell>
          <cell r="G91">
            <v>0.65900000000000003</v>
          </cell>
          <cell r="H91">
            <v>0.43</v>
          </cell>
          <cell r="I91">
            <v>0.53</v>
          </cell>
          <cell r="J91">
            <v>0.35909999999999997</v>
          </cell>
          <cell r="K91">
            <v>4.3144999999999998</v>
          </cell>
          <cell r="L91">
            <v>0.76329999999999998</v>
          </cell>
          <cell r="M91">
            <v>0.20399999999999999</v>
          </cell>
          <cell r="N91">
            <v>0.20399999999999999</v>
          </cell>
        </row>
        <row r="92">
          <cell r="A92">
            <v>36831</v>
          </cell>
          <cell r="B92">
            <v>20</v>
          </cell>
          <cell r="C92">
            <v>220</v>
          </cell>
          <cell r="D92" t="str">
            <v>Eighty-fourth</v>
          </cell>
          <cell r="E92">
            <v>1.9E-2</v>
          </cell>
          <cell r="F92">
            <v>1.19</v>
          </cell>
          <cell r="G92">
            <v>0.65900000000000003</v>
          </cell>
          <cell r="H92">
            <v>0.43</v>
          </cell>
          <cell r="I92">
            <v>0.53</v>
          </cell>
          <cell r="J92">
            <v>0.35909999999999997</v>
          </cell>
          <cell r="K92">
            <v>4.5294999999999996</v>
          </cell>
          <cell r="L92">
            <v>0.9506</v>
          </cell>
          <cell r="M92">
            <v>0.18820000000000001</v>
          </cell>
          <cell r="N92">
            <v>0.18820000000000001</v>
          </cell>
        </row>
        <row r="93">
          <cell r="A93">
            <v>36861</v>
          </cell>
          <cell r="B93">
            <v>20</v>
          </cell>
          <cell r="C93">
            <v>220</v>
          </cell>
          <cell r="D93" t="str">
            <v>Eighty-fourth</v>
          </cell>
          <cell r="E93">
            <v>1.9E-2</v>
          </cell>
          <cell r="F93">
            <v>1.19</v>
          </cell>
          <cell r="G93">
            <v>0.65900000000000003</v>
          </cell>
          <cell r="H93">
            <v>0.43</v>
          </cell>
          <cell r="I93">
            <v>0.53</v>
          </cell>
          <cell r="J93">
            <v>0.35909999999999997</v>
          </cell>
          <cell r="K93">
            <v>4.5294999999999996</v>
          </cell>
          <cell r="L93">
            <v>0.9506</v>
          </cell>
          <cell r="M93">
            <v>0.18820000000000001</v>
          </cell>
          <cell r="N93">
            <v>0.18820000000000001</v>
          </cell>
        </row>
        <row r="94">
          <cell r="A94">
            <v>36892</v>
          </cell>
          <cell r="B94">
            <v>20</v>
          </cell>
          <cell r="C94">
            <v>220</v>
          </cell>
          <cell r="D94" t="str">
            <v>Eighty-fourth</v>
          </cell>
          <cell r="E94">
            <v>1.9E-2</v>
          </cell>
          <cell r="F94">
            <v>1.19</v>
          </cell>
          <cell r="G94">
            <v>0.65900000000000003</v>
          </cell>
          <cell r="H94">
            <v>0.43</v>
          </cell>
          <cell r="I94">
            <v>0.53</v>
          </cell>
          <cell r="J94">
            <v>0.35909999999999997</v>
          </cell>
          <cell r="K94">
            <v>4.5294999999999996</v>
          </cell>
          <cell r="L94">
            <v>0.9506</v>
          </cell>
          <cell r="M94">
            <v>0.18820000000000001</v>
          </cell>
          <cell r="N94">
            <v>0.18820000000000001</v>
          </cell>
        </row>
        <row r="95">
          <cell r="A95">
            <v>36923</v>
          </cell>
          <cell r="B95">
            <v>20</v>
          </cell>
          <cell r="C95">
            <v>220</v>
          </cell>
          <cell r="D95" t="str">
            <v>Eighty-fifth</v>
          </cell>
          <cell r="E95">
            <v>1.9E-2</v>
          </cell>
          <cell r="F95">
            <v>1.19</v>
          </cell>
          <cell r="G95">
            <v>0.65900000000000003</v>
          </cell>
          <cell r="H95">
            <v>0.43</v>
          </cell>
          <cell r="I95">
            <v>0.53</v>
          </cell>
          <cell r="J95">
            <v>0.35909999999999997</v>
          </cell>
          <cell r="K95">
            <v>5.8369999999999997</v>
          </cell>
          <cell r="L95">
            <v>1.2250000000000001</v>
          </cell>
          <cell r="M95">
            <v>0.24249999999999999</v>
          </cell>
          <cell r="N95">
            <v>0.24249999999999999</v>
          </cell>
        </row>
        <row r="96">
          <cell r="A96">
            <v>36951</v>
          </cell>
          <cell r="B96">
            <v>20</v>
          </cell>
          <cell r="C96">
            <v>220</v>
          </cell>
          <cell r="D96" t="str">
            <v>Eighty-sixth</v>
          </cell>
          <cell r="E96">
            <v>1.9E-2</v>
          </cell>
          <cell r="F96">
            <v>1.19</v>
          </cell>
          <cell r="G96">
            <v>0.65900000000000003</v>
          </cell>
          <cell r="H96">
            <v>0.43</v>
          </cell>
          <cell r="I96">
            <v>0.53</v>
          </cell>
          <cell r="J96">
            <v>0.35909999999999997</v>
          </cell>
          <cell r="K96">
            <v>5.8369999999999997</v>
          </cell>
          <cell r="L96">
            <v>1.2250000000000001</v>
          </cell>
          <cell r="M96">
            <v>0.24249999999999999</v>
          </cell>
          <cell r="N96">
            <v>0.24249999999999999</v>
          </cell>
        </row>
        <row r="97">
          <cell r="A97">
            <v>36982</v>
          </cell>
          <cell r="B97">
            <v>20</v>
          </cell>
          <cell r="C97">
            <v>220</v>
          </cell>
          <cell r="D97" t="str">
            <v>Eighty-seventh</v>
          </cell>
          <cell r="E97">
            <v>1.9E-2</v>
          </cell>
          <cell r="F97">
            <v>1.19</v>
          </cell>
          <cell r="G97">
            <v>0.65900000000000003</v>
          </cell>
          <cell r="H97">
            <v>0.43</v>
          </cell>
          <cell r="I97">
            <v>0.53</v>
          </cell>
          <cell r="J97">
            <v>0.35909999999999997</v>
          </cell>
          <cell r="K97">
            <v>5.8369999999999997</v>
          </cell>
          <cell r="L97">
            <v>1.2250000000000001</v>
          </cell>
          <cell r="M97">
            <v>0.24249999999999999</v>
          </cell>
          <cell r="N97">
            <v>0.24249999999999999</v>
          </cell>
        </row>
        <row r="98">
          <cell r="A98">
            <v>37012</v>
          </cell>
          <cell r="B98">
            <v>20</v>
          </cell>
          <cell r="C98">
            <v>220</v>
          </cell>
          <cell r="D98" t="str">
            <v>Eighty-eighth</v>
          </cell>
          <cell r="E98">
            <v>1.9E-2</v>
          </cell>
          <cell r="F98">
            <v>1.19</v>
          </cell>
          <cell r="G98">
            <v>0.65900000000000003</v>
          </cell>
          <cell r="H98">
            <v>0.43</v>
          </cell>
          <cell r="I98">
            <v>0.53</v>
          </cell>
          <cell r="J98">
            <v>0.35909999999999997</v>
          </cell>
          <cell r="K98">
            <v>5.0563000000000002</v>
          </cell>
          <cell r="L98">
            <v>1.0611999999999999</v>
          </cell>
          <cell r="M98">
            <v>0.21010000000000001</v>
          </cell>
          <cell r="N98">
            <v>0.21010000000000001</v>
          </cell>
        </row>
        <row r="99">
          <cell r="A99">
            <v>37043</v>
          </cell>
          <cell r="B99">
            <v>20</v>
          </cell>
          <cell r="C99">
            <v>220</v>
          </cell>
          <cell r="D99" t="str">
            <v>Eighty-ninth</v>
          </cell>
          <cell r="E99">
            <v>1.9E-2</v>
          </cell>
          <cell r="F99">
            <v>1.19</v>
          </cell>
          <cell r="G99">
            <v>0.65900000000000003</v>
          </cell>
          <cell r="H99">
            <v>0.43</v>
          </cell>
          <cell r="I99">
            <v>0.53</v>
          </cell>
          <cell r="J99">
            <v>0.35909999999999997</v>
          </cell>
          <cell r="K99">
            <v>5.0563000000000002</v>
          </cell>
          <cell r="L99">
            <v>1.0611999999999999</v>
          </cell>
          <cell r="M99">
            <v>0.21010000000000001</v>
          </cell>
          <cell r="N99">
            <v>0.21010000000000001</v>
          </cell>
        </row>
        <row r="100">
          <cell r="A100">
            <v>37073</v>
          </cell>
          <cell r="B100">
            <v>20</v>
          </cell>
          <cell r="C100">
            <v>220</v>
          </cell>
          <cell r="D100" t="str">
            <v>Ninetieth</v>
          </cell>
          <cell r="E100">
            <v>1.9E-2</v>
          </cell>
          <cell r="F100">
            <v>1.19</v>
          </cell>
          <cell r="G100">
            <v>0.65900000000000003</v>
          </cell>
          <cell r="H100">
            <v>0.43</v>
          </cell>
          <cell r="I100">
            <v>0.53</v>
          </cell>
          <cell r="J100">
            <v>0.35909999999999997</v>
          </cell>
          <cell r="K100">
            <v>5.0563000000000002</v>
          </cell>
          <cell r="L100">
            <v>1.0611999999999999</v>
          </cell>
          <cell r="M100">
            <v>0.21010000000000001</v>
          </cell>
          <cell r="N100">
            <v>0.21010000000000001</v>
          </cell>
        </row>
        <row r="101">
          <cell r="A101">
            <v>37104</v>
          </cell>
          <cell r="B101">
            <v>20</v>
          </cell>
          <cell r="C101">
            <v>220</v>
          </cell>
          <cell r="D101" t="str">
            <v>Ninety-first</v>
          </cell>
          <cell r="E101">
            <v>1.9E-2</v>
          </cell>
          <cell r="F101">
            <v>1.19</v>
          </cell>
          <cell r="G101">
            <v>0.65900000000000003</v>
          </cell>
          <cell r="H101">
            <v>0.43</v>
          </cell>
          <cell r="I101">
            <v>0.53</v>
          </cell>
          <cell r="J101">
            <v>0.35909999999999997</v>
          </cell>
          <cell r="K101">
            <v>5.0563000000000002</v>
          </cell>
          <cell r="L101">
            <v>1.0611999999999999</v>
          </cell>
          <cell r="M101">
            <v>0.21010000000000001</v>
          </cell>
          <cell r="N101">
            <v>0.21010000000000001</v>
          </cell>
        </row>
        <row r="102">
          <cell r="A102">
            <v>37135</v>
          </cell>
          <cell r="B102">
            <v>20</v>
          </cell>
          <cell r="C102">
            <v>220</v>
          </cell>
          <cell r="D102" t="str">
            <v>Ninety-first</v>
          </cell>
          <cell r="E102">
            <v>1.9E-2</v>
          </cell>
          <cell r="F102">
            <v>1.19</v>
          </cell>
          <cell r="G102">
            <v>0.65900000000000003</v>
          </cell>
          <cell r="H102">
            <v>0.43</v>
          </cell>
          <cell r="I102">
            <v>0.53</v>
          </cell>
          <cell r="J102">
            <v>0.35909999999999997</v>
          </cell>
          <cell r="K102">
            <v>5.0563000000000002</v>
          </cell>
          <cell r="L102">
            <v>1.0611999999999999</v>
          </cell>
          <cell r="M102">
            <v>0.21010000000000001</v>
          </cell>
          <cell r="N102">
            <v>0.21010000000000001</v>
          </cell>
        </row>
        <row r="103">
          <cell r="A103">
            <v>37165</v>
          </cell>
          <cell r="B103">
            <v>20</v>
          </cell>
          <cell r="C103">
            <v>220</v>
          </cell>
          <cell r="D103" t="str">
            <v>Ninety-first</v>
          </cell>
          <cell r="E103">
            <v>1.9E-2</v>
          </cell>
          <cell r="F103">
            <v>1.19</v>
          </cell>
          <cell r="G103">
            <v>0.65900000000000003</v>
          </cell>
          <cell r="H103">
            <v>0.43</v>
          </cell>
          <cell r="I103">
            <v>0.53</v>
          </cell>
          <cell r="J103">
            <v>0.35909999999999997</v>
          </cell>
          <cell r="K103">
            <v>5.0563000000000002</v>
          </cell>
          <cell r="L103">
            <v>1.0611999999999999</v>
          </cell>
          <cell r="M103">
            <v>0.21010000000000001</v>
          </cell>
          <cell r="N103">
            <v>0.21010000000000001</v>
          </cell>
        </row>
        <row r="104">
          <cell r="A104">
            <v>37196</v>
          </cell>
          <cell r="B104">
            <v>20</v>
          </cell>
          <cell r="C104">
            <v>220</v>
          </cell>
          <cell r="D104" t="str">
            <v>Ninety-second</v>
          </cell>
          <cell r="E104">
            <v>1.9E-2</v>
          </cell>
          <cell r="F104">
            <v>1.19</v>
          </cell>
          <cell r="G104">
            <v>0.65900000000000003</v>
          </cell>
          <cell r="H104">
            <v>0.43</v>
          </cell>
          <cell r="I104">
            <v>0.53</v>
          </cell>
          <cell r="J104">
            <v>0.35909999999999997</v>
          </cell>
          <cell r="K104">
            <v>5.0563000000000002</v>
          </cell>
          <cell r="L104">
            <v>1.0611999999999999</v>
          </cell>
          <cell r="M104">
            <v>0.21010000000000001</v>
          </cell>
          <cell r="N104">
            <v>0.21010000000000001</v>
          </cell>
        </row>
        <row r="105">
          <cell r="A105">
            <v>37226</v>
          </cell>
          <cell r="B105">
            <v>20</v>
          </cell>
          <cell r="C105">
            <v>220</v>
          </cell>
          <cell r="D105" t="str">
            <v>Ninety-second</v>
          </cell>
          <cell r="E105">
            <v>1.9E-2</v>
          </cell>
          <cell r="F105">
            <v>1.19</v>
          </cell>
          <cell r="G105">
            <v>0.65900000000000003</v>
          </cell>
          <cell r="H105">
            <v>0.43</v>
          </cell>
          <cell r="I105">
            <v>0.53</v>
          </cell>
          <cell r="J105">
            <v>0.35909999999999997</v>
          </cell>
          <cell r="K105">
            <v>5.0563000000000002</v>
          </cell>
          <cell r="L105">
            <v>1.0611999999999999</v>
          </cell>
          <cell r="M105">
            <v>0.21010000000000001</v>
          </cell>
          <cell r="N105">
            <v>0.21010000000000001</v>
          </cell>
        </row>
        <row r="106">
          <cell r="A106">
            <v>37257</v>
          </cell>
          <cell r="B106">
            <v>20</v>
          </cell>
          <cell r="C106">
            <v>220</v>
          </cell>
          <cell r="D106" t="str">
            <v>Ninety-second</v>
          </cell>
          <cell r="E106">
            <v>1.9E-2</v>
          </cell>
          <cell r="F106">
            <v>1.19</v>
          </cell>
          <cell r="G106">
            <v>0.65900000000000003</v>
          </cell>
          <cell r="H106">
            <v>0.43</v>
          </cell>
          <cell r="I106">
            <v>0.53</v>
          </cell>
          <cell r="J106">
            <v>0.35909999999999997</v>
          </cell>
          <cell r="K106">
            <v>5.0563000000000002</v>
          </cell>
          <cell r="L106">
            <v>1.0611999999999999</v>
          </cell>
          <cell r="M106">
            <v>0.21010000000000001</v>
          </cell>
          <cell r="N106">
            <v>0.21010000000000001</v>
          </cell>
        </row>
        <row r="107">
          <cell r="A107">
            <v>37288</v>
          </cell>
          <cell r="B107">
            <v>20</v>
          </cell>
          <cell r="C107">
            <v>220</v>
          </cell>
          <cell r="D107" t="str">
            <v>Ninety-third</v>
          </cell>
          <cell r="E107">
            <v>1.09E-2</v>
          </cell>
          <cell r="F107">
            <v>1.19</v>
          </cell>
          <cell r="G107">
            <v>0.65900000000000003</v>
          </cell>
          <cell r="H107">
            <v>0.43</v>
          </cell>
          <cell r="I107">
            <v>0.53</v>
          </cell>
          <cell r="J107">
            <v>0.35909999999999997</v>
          </cell>
          <cell r="K107">
            <v>5.0563000000000002</v>
          </cell>
          <cell r="L107">
            <v>1.0611999999999999</v>
          </cell>
          <cell r="M107">
            <v>0.21010000000000001</v>
          </cell>
          <cell r="N107">
            <v>0.21010000000000001</v>
          </cell>
        </row>
        <row r="108">
          <cell r="A108">
            <v>37316</v>
          </cell>
          <cell r="B108">
            <v>20</v>
          </cell>
          <cell r="C108">
            <v>220</v>
          </cell>
          <cell r="D108" t="str">
            <v>Ninety-third</v>
          </cell>
          <cell r="E108">
            <v>1.09E-2</v>
          </cell>
          <cell r="F108">
            <v>1.19</v>
          </cell>
          <cell r="G108">
            <v>0.65900000000000003</v>
          </cell>
          <cell r="H108">
            <v>0.43</v>
          </cell>
          <cell r="I108">
            <v>0.53</v>
          </cell>
          <cell r="J108">
            <v>0.35909999999999997</v>
          </cell>
          <cell r="K108">
            <v>5.0563000000000002</v>
          </cell>
          <cell r="L108">
            <v>1.0611999999999999</v>
          </cell>
          <cell r="M108">
            <v>0.21010000000000001</v>
          </cell>
          <cell r="N108">
            <v>0.21010000000000001</v>
          </cell>
        </row>
        <row r="109">
          <cell r="A109">
            <v>37347</v>
          </cell>
          <cell r="B109">
            <v>20</v>
          </cell>
          <cell r="C109">
            <v>220</v>
          </cell>
          <cell r="D109" t="str">
            <v>Ninety-third</v>
          </cell>
          <cell r="E109">
            <v>1.09E-2</v>
          </cell>
          <cell r="F109">
            <v>1.19</v>
          </cell>
          <cell r="G109">
            <v>0.65900000000000003</v>
          </cell>
          <cell r="H109">
            <v>0.43</v>
          </cell>
          <cell r="I109">
            <v>0.53</v>
          </cell>
          <cell r="J109">
            <v>0.35909999999999997</v>
          </cell>
          <cell r="K109">
            <v>5.0563000000000002</v>
          </cell>
          <cell r="L109">
            <v>1.0611999999999999</v>
          </cell>
          <cell r="M109">
            <v>0.21010000000000001</v>
          </cell>
          <cell r="N109">
            <v>0.21010000000000001</v>
          </cell>
        </row>
        <row r="110">
          <cell r="A110">
            <v>37377</v>
          </cell>
          <cell r="B110">
            <v>20</v>
          </cell>
          <cell r="C110">
            <v>220</v>
          </cell>
          <cell r="D110" t="str">
            <v>Ninety-fourth</v>
          </cell>
          <cell r="E110">
            <v>1.09E-2</v>
          </cell>
          <cell r="F110">
            <v>1.19</v>
          </cell>
          <cell r="G110">
            <v>0.65900000000000003</v>
          </cell>
          <cell r="H110">
            <v>0.43</v>
          </cell>
          <cell r="I110">
            <v>0.53</v>
          </cell>
          <cell r="J110">
            <v>0.35909999999999997</v>
          </cell>
          <cell r="K110">
            <v>5.0563000000000002</v>
          </cell>
          <cell r="L110">
            <v>1.0611999999999999</v>
          </cell>
          <cell r="M110">
            <v>0.21010000000000001</v>
          </cell>
          <cell r="N110">
            <v>0.21010000000000001</v>
          </cell>
        </row>
        <row r="111">
          <cell r="A111">
            <v>37408</v>
          </cell>
          <cell r="B111">
            <v>20</v>
          </cell>
          <cell r="C111">
            <v>220</v>
          </cell>
          <cell r="D111" t="str">
            <v>Ninety-fourth</v>
          </cell>
          <cell r="E111">
            <v>1.09E-2</v>
          </cell>
          <cell r="F111">
            <v>1.19</v>
          </cell>
          <cell r="G111">
            <v>0.65900000000000003</v>
          </cell>
          <cell r="H111">
            <v>0.43</v>
          </cell>
          <cell r="I111">
            <v>0.53</v>
          </cell>
          <cell r="J111">
            <v>0.35909999999999997</v>
          </cell>
          <cell r="K111">
            <v>5.0563000000000002</v>
          </cell>
          <cell r="L111">
            <v>1.0611999999999999</v>
          </cell>
          <cell r="M111">
            <v>0.21010000000000001</v>
          </cell>
          <cell r="N111">
            <v>0.21010000000000001</v>
          </cell>
        </row>
        <row r="112">
          <cell r="A112">
            <v>37438</v>
          </cell>
          <cell r="B112">
            <v>20</v>
          </cell>
          <cell r="C112">
            <v>220</v>
          </cell>
          <cell r="D112" t="str">
            <v>Ninety-fourth</v>
          </cell>
          <cell r="E112">
            <v>1.09E-2</v>
          </cell>
          <cell r="F112">
            <v>1.19</v>
          </cell>
          <cell r="G112">
            <v>0.65900000000000003</v>
          </cell>
          <cell r="H112">
            <v>0.43</v>
          </cell>
          <cell r="I112">
            <v>0.53</v>
          </cell>
          <cell r="J112">
            <v>0.35909999999999997</v>
          </cell>
          <cell r="K112">
            <v>5.0563000000000002</v>
          </cell>
          <cell r="L112">
            <v>1.0611999999999999</v>
          </cell>
          <cell r="M112">
            <v>0.21010000000000001</v>
          </cell>
          <cell r="N112">
            <v>0.21010000000000001</v>
          </cell>
        </row>
        <row r="113">
          <cell r="A113">
            <v>37469</v>
          </cell>
          <cell r="B113">
            <v>20</v>
          </cell>
          <cell r="C113">
            <v>220</v>
          </cell>
          <cell r="D113" t="str">
            <v>Ninety-fifth</v>
          </cell>
          <cell r="E113">
            <v>1.09E-2</v>
          </cell>
          <cell r="F113">
            <v>1.19</v>
          </cell>
          <cell r="G113">
            <v>0.65900000000000003</v>
          </cell>
          <cell r="H113">
            <v>0.43</v>
          </cell>
          <cell r="I113">
            <v>0.53</v>
          </cell>
          <cell r="J113">
            <v>0.35909999999999997</v>
          </cell>
          <cell r="K113">
            <v>5.0563000000000002</v>
          </cell>
          <cell r="L113">
            <v>1.0518000000000001</v>
          </cell>
          <cell r="M113">
            <v>0.20069999999999999</v>
          </cell>
          <cell r="N113">
            <v>0.20830000000000001</v>
          </cell>
        </row>
        <row r="114">
          <cell r="A114">
            <v>37500</v>
          </cell>
          <cell r="B114">
            <v>20</v>
          </cell>
          <cell r="C114">
            <v>220</v>
          </cell>
          <cell r="D114" t="str">
            <v>Ninety-fifth</v>
          </cell>
          <cell r="E114">
            <v>1.09E-2</v>
          </cell>
          <cell r="F114">
            <v>1.19</v>
          </cell>
          <cell r="G114">
            <v>0.65900000000000003</v>
          </cell>
          <cell r="H114">
            <v>0.43</v>
          </cell>
          <cell r="I114">
            <v>0.53</v>
          </cell>
          <cell r="J114">
            <v>0.35909999999999997</v>
          </cell>
          <cell r="K114">
            <v>5.0563000000000002</v>
          </cell>
          <cell r="L114">
            <v>1.0518000000000001</v>
          </cell>
          <cell r="M114">
            <v>0.20069999999999999</v>
          </cell>
          <cell r="N114">
            <v>0.20830000000000001</v>
          </cell>
        </row>
        <row r="115">
          <cell r="A115">
            <v>37530</v>
          </cell>
          <cell r="B115">
            <v>20</v>
          </cell>
          <cell r="C115">
            <v>220</v>
          </cell>
          <cell r="D115" t="str">
            <v>Ninety-fifth</v>
          </cell>
          <cell r="E115">
            <v>1.09E-2</v>
          </cell>
          <cell r="F115">
            <v>1.19</v>
          </cell>
          <cell r="G115">
            <v>0.65900000000000003</v>
          </cell>
          <cell r="H115">
            <v>0.43</v>
          </cell>
          <cell r="I115">
            <v>0.53</v>
          </cell>
          <cell r="J115">
            <v>0.35909999999999997</v>
          </cell>
          <cell r="K115">
            <v>5.0563000000000002</v>
          </cell>
          <cell r="L115">
            <v>1.0518000000000001</v>
          </cell>
          <cell r="M115">
            <v>0.20069999999999999</v>
          </cell>
          <cell r="N115">
            <v>0.20830000000000001</v>
          </cell>
        </row>
        <row r="116">
          <cell r="A116">
            <v>37561</v>
          </cell>
          <cell r="B116">
            <v>20</v>
          </cell>
          <cell r="C116">
            <v>220</v>
          </cell>
          <cell r="D116" t="str">
            <v>First</v>
          </cell>
          <cell r="E116">
            <v>1.09E-2</v>
          </cell>
          <cell r="F116">
            <v>1.19</v>
          </cell>
          <cell r="G116">
            <v>0.65900000000000003</v>
          </cell>
          <cell r="H116">
            <v>0.43</v>
          </cell>
          <cell r="I116">
            <v>0.53</v>
          </cell>
          <cell r="J116">
            <v>0.35909999999999997</v>
          </cell>
          <cell r="K116">
            <v>4.5831999999999997</v>
          </cell>
          <cell r="L116">
            <v>0.80489999999999995</v>
          </cell>
          <cell r="M116">
            <v>3.3399999999999999E-2</v>
          </cell>
          <cell r="N116">
            <v>0.1593</v>
          </cell>
        </row>
        <row r="117">
          <cell r="A117">
            <v>37591</v>
          </cell>
          <cell r="B117">
            <v>20</v>
          </cell>
          <cell r="C117">
            <v>220</v>
          </cell>
          <cell r="D117" t="str">
            <v>First</v>
          </cell>
          <cell r="E117">
            <v>1.09E-2</v>
          </cell>
          <cell r="F117">
            <v>1.19</v>
          </cell>
          <cell r="G117">
            <v>0.65900000000000003</v>
          </cell>
          <cell r="H117">
            <v>0.43</v>
          </cell>
          <cell r="I117">
            <v>0.53</v>
          </cell>
          <cell r="J117">
            <v>0.35909999999999997</v>
          </cell>
          <cell r="K117">
            <v>4.5831999999999997</v>
          </cell>
          <cell r="L117">
            <v>0.80489999999999995</v>
          </cell>
          <cell r="M117">
            <v>3.3399999999999999E-2</v>
          </cell>
          <cell r="N117">
            <v>0.1593</v>
          </cell>
        </row>
        <row r="118">
          <cell r="A118">
            <v>37622</v>
          </cell>
          <cell r="B118">
            <v>20</v>
          </cell>
          <cell r="C118">
            <v>220</v>
          </cell>
          <cell r="D118" t="str">
            <v>First</v>
          </cell>
          <cell r="E118">
            <v>1.09E-2</v>
          </cell>
          <cell r="F118">
            <v>1.19</v>
          </cell>
          <cell r="G118">
            <v>0.65900000000000003</v>
          </cell>
          <cell r="H118">
            <v>0.43</v>
          </cell>
          <cell r="I118">
            <v>0.53</v>
          </cell>
          <cell r="J118">
            <v>0.35909999999999997</v>
          </cell>
          <cell r="K118">
            <v>4.5831999999999997</v>
          </cell>
          <cell r="L118">
            <v>0.80489999999999995</v>
          </cell>
          <cell r="M118">
            <v>3.3399999999999999E-2</v>
          </cell>
          <cell r="N118">
            <v>0.1593</v>
          </cell>
        </row>
        <row r="119">
          <cell r="A119">
            <v>37653</v>
          </cell>
          <cell r="B119">
            <v>20</v>
          </cell>
          <cell r="C119">
            <v>220</v>
          </cell>
          <cell r="D119" t="str">
            <v>Second</v>
          </cell>
          <cell r="E119">
            <v>1.38E-2</v>
          </cell>
          <cell r="F119">
            <v>1.19</v>
          </cell>
          <cell r="G119">
            <v>0.65900000000000003</v>
          </cell>
          <cell r="H119">
            <v>0.43</v>
          </cell>
          <cell r="I119">
            <v>0.53</v>
          </cell>
          <cell r="J119">
            <v>0.35909999999999997</v>
          </cell>
          <cell r="K119">
            <v>4.7106000000000003</v>
          </cell>
          <cell r="L119">
            <v>0.92749999999999999</v>
          </cell>
          <cell r="M119">
            <v>3.3399999999999999E-2</v>
          </cell>
          <cell r="N119">
            <v>0.1593</v>
          </cell>
        </row>
        <row r="120">
          <cell r="A120">
            <v>37681</v>
          </cell>
          <cell r="B120">
            <v>20</v>
          </cell>
          <cell r="C120">
            <v>220</v>
          </cell>
          <cell r="D120" t="str">
            <v>Second</v>
          </cell>
          <cell r="E120">
            <v>1.38E-2</v>
          </cell>
          <cell r="F120">
            <v>1.19</v>
          </cell>
          <cell r="G120">
            <v>0.65900000000000003</v>
          </cell>
          <cell r="H120">
            <v>0.43</v>
          </cell>
          <cell r="I120">
            <v>0.53</v>
          </cell>
          <cell r="J120">
            <v>0.35909999999999997</v>
          </cell>
          <cell r="K120">
            <v>4.7106000000000003</v>
          </cell>
          <cell r="L120">
            <v>0.92749999999999999</v>
          </cell>
          <cell r="M120">
            <v>3.3399999999999999E-2</v>
          </cell>
          <cell r="N120">
            <v>0.1593</v>
          </cell>
        </row>
        <row r="121">
          <cell r="A121">
            <v>37712</v>
          </cell>
          <cell r="B121">
            <v>20</v>
          </cell>
          <cell r="C121">
            <v>220</v>
          </cell>
          <cell r="D121" t="str">
            <v>Third</v>
          </cell>
          <cell r="E121">
            <v>1.38E-2</v>
          </cell>
          <cell r="F121">
            <v>1.19</v>
          </cell>
          <cell r="G121">
            <v>0.65900000000000003</v>
          </cell>
          <cell r="H121">
            <v>0.43</v>
          </cell>
          <cell r="I121">
            <v>0.53</v>
          </cell>
          <cell r="J121">
            <v>0.35909999999999997</v>
          </cell>
          <cell r="K121">
            <v>4.7106000000000003</v>
          </cell>
          <cell r="L121">
            <v>0.92749999999999999</v>
          </cell>
          <cell r="M121">
            <v>3.3399999999999999E-2</v>
          </cell>
          <cell r="N121">
            <v>0.1593</v>
          </cell>
        </row>
        <row r="122">
          <cell r="A122">
            <v>37742</v>
          </cell>
          <cell r="B122">
            <v>20</v>
          </cell>
          <cell r="C122">
            <v>220</v>
          </cell>
          <cell r="D122" t="str">
            <v>Fourth</v>
          </cell>
          <cell r="E122">
            <v>1.38E-2</v>
          </cell>
          <cell r="F122">
            <v>1.19</v>
          </cell>
          <cell r="G122">
            <v>0.65900000000000003</v>
          </cell>
          <cell r="H122">
            <v>0.43</v>
          </cell>
          <cell r="I122">
            <v>0.53</v>
          </cell>
          <cell r="J122">
            <v>0.35909999999999997</v>
          </cell>
          <cell r="K122">
            <v>4.7106000000000003</v>
          </cell>
          <cell r="L122">
            <v>0.92749999999999999</v>
          </cell>
          <cell r="M122">
            <v>3.3399999999999999E-2</v>
          </cell>
          <cell r="N122">
            <v>0.1593</v>
          </cell>
        </row>
        <row r="123">
          <cell r="A123">
            <v>37773</v>
          </cell>
          <cell r="B123">
            <v>20</v>
          </cell>
          <cell r="C123">
            <v>220</v>
          </cell>
          <cell r="D123" t="str">
            <v>Fourth</v>
          </cell>
          <cell r="E123">
            <v>1.38E-2</v>
          </cell>
          <cell r="F123">
            <v>1.19</v>
          </cell>
          <cell r="G123">
            <v>0.65900000000000003</v>
          </cell>
          <cell r="H123">
            <v>0.43</v>
          </cell>
          <cell r="I123">
            <v>0.53</v>
          </cell>
          <cell r="J123">
            <v>0.35909999999999997</v>
          </cell>
          <cell r="K123">
            <v>4.7106000000000003</v>
          </cell>
          <cell r="L123">
            <v>0.92749999999999999</v>
          </cell>
          <cell r="M123">
            <v>3.3399999999999999E-2</v>
          </cell>
          <cell r="N123">
            <v>0.1593</v>
          </cell>
        </row>
        <row r="124">
          <cell r="A124">
            <v>37803</v>
          </cell>
          <cell r="B124">
            <v>20</v>
          </cell>
          <cell r="C124">
            <v>220</v>
          </cell>
          <cell r="D124" t="str">
            <v>Fourth</v>
          </cell>
          <cell r="E124">
            <v>1.38E-2</v>
          </cell>
          <cell r="F124">
            <v>1.19</v>
          </cell>
          <cell r="G124">
            <v>0.65900000000000003</v>
          </cell>
          <cell r="H124">
            <v>0.43</v>
          </cell>
          <cell r="I124">
            <v>0.53</v>
          </cell>
          <cell r="J124">
            <v>0.35909999999999997</v>
          </cell>
          <cell r="K124">
            <v>4.7106000000000003</v>
          </cell>
          <cell r="L124">
            <v>0.92749999999999999</v>
          </cell>
          <cell r="M124">
            <v>3.3399999999999999E-2</v>
          </cell>
          <cell r="N124">
            <v>0.1593</v>
          </cell>
        </row>
        <row r="125">
          <cell r="A125">
            <v>37834</v>
          </cell>
          <cell r="B125">
            <v>20</v>
          </cell>
          <cell r="C125">
            <v>220</v>
          </cell>
          <cell r="D125" t="str">
            <v>Fifth</v>
          </cell>
          <cell r="E125">
            <v>1.38E-2</v>
          </cell>
          <cell r="F125">
            <v>1.19</v>
          </cell>
          <cell r="G125">
            <v>0.65900000000000003</v>
          </cell>
          <cell r="H125">
            <v>0.43</v>
          </cell>
          <cell r="I125">
            <v>0.53</v>
          </cell>
          <cell r="J125">
            <v>0.35909999999999997</v>
          </cell>
          <cell r="K125">
            <v>4.6295999999999999</v>
          </cell>
          <cell r="L125">
            <v>0.91820000000000002</v>
          </cell>
          <cell r="M125">
            <v>3.95E-2</v>
          </cell>
          <cell r="N125">
            <v>0.1578</v>
          </cell>
        </row>
        <row r="126">
          <cell r="A126">
            <v>37865</v>
          </cell>
          <cell r="B126">
            <v>20</v>
          </cell>
          <cell r="C126">
            <v>220</v>
          </cell>
          <cell r="D126" t="str">
            <v>Fifth</v>
          </cell>
          <cell r="E126">
            <v>1.38E-2</v>
          </cell>
          <cell r="F126">
            <v>1.19</v>
          </cell>
          <cell r="G126">
            <v>0.65900000000000003</v>
          </cell>
          <cell r="H126">
            <v>0.43</v>
          </cell>
          <cell r="I126">
            <v>0.53</v>
          </cell>
          <cell r="J126">
            <v>0.35909999999999997</v>
          </cell>
          <cell r="K126">
            <v>4.6295999999999999</v>
          </cell>
          <cell r="L126">
            <v>0.91820000000000002</v>
          </cell>
          <cell r="M126">
            <v>3.95E-2</v>
          </cell>
          <cell r="N126">
            <v>0.1578</v>
          </cell>
        </row>
        <row r="127">
          <cell r="A127">
            <v>37895</v>
          </cell>
          <cell r="B127">
            <v>20</v>
          </cell>
          <cell r="C127">
            <v>220</v>
          </cell>
          <cell r="D127" t="str">
            <v>Fifth</v>
          </cell>
          <cell r="E127">
            <v>1.38E-2</v>
          </cell>
          <cell r="F127">
            <v>1.19</v>
          </cell>
          <cell r="G127">
            <v>0.65900000000000003</v>
          </cell>
          <cell r="H127">
            <v>0.43</v>
          </cell>
          <cell r="I127">
            <v>0.53</v>
          </cell>
          <cell r="J127">
            <v>0.35909999999999997</v>
          </cell>
          <cell r="K127">
            <v>4.6295999999999999</v>
          </cell>
          <cell r="L127">
            <v>0.91820000000000002</v>
          </cell>
          <cell r="M127">
            <v>3.95E-2</v>
          </cell>
          <cell r="N127">
            <v>0.1578</v>
          </cell>
        </row>
        <row r="128">
          <cell r="A128">
            <v>37926</v>
          </cell>
          <cell r="B128">
            <v>20</v>
          </cell>
          <cell r="C128">
            <v>220</v>
          </cell>
          <cell r="D128" t="str">
            <v>Sixth</v>
          </cell>
          <cell r="E128">
            <v>1.38E-2</v>
          </cell>
          <cell r="F128">
            <v>1.19</v>
          </cell>
          <cell r="G128">
            <v>0.65900000000000003</v>
          </cell>
          <cell r="H128">
            <v>0.43</v>
          </cell>
          <cell r="I128">
            <v>0.53</v>
          </cell>
          <cell r="J128">
            <v>0.35909999999999997</v>
          </cell>
          <cell r="K128">
            <v>4.6387</v>
          </cell>
          <cell r="L128">
            <v>0.92830000000000001</v>
          </cell>
          <cell r="M128">
            <v>3.95E-2</v>
          </cell>
          <cell r="N128">
            <v>0.1578</v>
          </cell>
        </row>
        <row r="129">
          <cell r="A129">
            <v>37956</v>
          </cell>
          <cell r="B129">
            <v>20</v>
          </cell>
          <cell r="C129">
            <v>220</v>
          </cell>
          <cell r="D129" t="str">
            <v>Sixth</v>
          </cell>
          <cell r="E129">
            <v>1.38E-2</v>
          </cell>
          <cell r="F129">
            <v>1.19</v>
          </cell>
          <cell r="G129">
            <v>0.65900000000000003</v>
          </cell>
          <cell r="H129">
            <v>0.43</v>
          </cell>
          <cell r="I129">
            <v>0.53</v>
          </cell>
          <cell r="J129">
            <v>0.35909999999999997</v>
          </cell>
          <cell r="K129">
            <v>4.6387</v>
          </cell>
          <cell r="L129">
            <v>0.92830000000000001</v>
          </cell>
          <cell r="M129">
            <v>3.95E-2</v>
          </cell>
          <cell r="N129">
            <v>0.1578</v>
          </cell>
        </row>
        <row r="130">
          <cell r="A130">
            <v>37987</v>
          </cell>
          <cell r="B130">
            <v>20</v>
          </cell>
          <cell r="C130">
            <v>220</v>
          </cell>
          <cell r="D130" t="str">
            <v>Sixth</v>
          </cell>
          <cell r="E130">
            <v>1.38E-2</v>
          </cell>
          <cell r="F130">
            <v>1.19</v>
          </cell>
          <cell r="G130">
            <v>0.65900000000000003</v>
          </cell>
          <cell r="H130">
            <v>0.43</v>
          </cell>
          <cell r="I130">
            <v>0.53</v>
          </cell>
          <cell r="J130">
            <v>0.35909999999999997</v>
          </cell>
          <cell r="K130">
            <v>4.6387</v>
          </cell>
          <cell r="L130">
            <v>0.92830000000000001</v>
          </cell>
          <cell r="M130">
            <v>3.95E-2</v>
          </cell>
          <cell r="N130">
            <v>0.1578</v>
          </cell>
        </row>
        <row r="131">
          <cell r="A131">
            <v>38018</v>
          </cell>
          <cell r="B131">
            <v>20</v>
          </cell>
          <cell r="C131">
            <v>220</v>
          </cell>
          <cell r="D131" t="str">
            <v>Seventh</v>
          </cell>
          <cell r="E131">
            <v>1.38E-2</v>
          </cell>
          <cell r="F131">
            <v>1.19</v>
          </cell>
          <cell r="G131">
            <v>0.65900000000000003</v>
          </cell>
          <cell r="H131">
            <v>0.43</v>
          </cell>
          <cell r="I131">
            <v>0.53</v>
          </cell>
          <cell r="J131">
            <v>0.35909999999999997</v>
          </cell>
          <cell r="K131">
            <v>4.6387</v>
          </cell>
          <cell r="L131">
            <v>1.0759000000000001</v>
          </cell>
          <cell r="M131">
            <v>0.18709999999999999</v>
          </cell>
          <cell r="N131">
            <v>0.18709999999999999</v>
          </cell>
        </row>
        <row r="132">
          <cell r="A132">
            <v>38047</v>
          </cell>
          <cell r="B132">
            <v>20</v>
          </cell>
          <cell r="C132">
            <v>220</v>
          </cell>
          <cell r="D132" t="str">
            <v>Seventh</v>
          </cell>
          <cell r="E132">
            <v>1.38E-2</v>
          </cell>
          <cell r="F132">
            <v>1.19</v>
          </cell>
          <cell r="G132">
            <v>0.65900000000000003</v>
          </cell>
          <cell r="H132">
            <v>0.43</v>
          </cell>
          <cell r="I132">
            <v>0.53</v>
          </cell>
          <cell r="J132">
            <v>0.35909999999999997</v>
          </cell>
          <cell r="K132">
            <v>4.6387</v>
          </cell>
          <cell r="L132">
            <v>1.0759000000000001</v>
          </cell>
          <cell r="M132">
            <v>0.18709999999999999</v>
          </cell>
          <cell r="N132">
            <v>0.18709999999999999</v>
          </cell>
        </row>
        <row r="133">
          <cell r="A133">
            <v>38078</v>
          </cell>
          <cell r="B133">
            <v>20</v>
          </cell>
          <cell r="C133">
            <v>220</v>
          </cell>
          <cell r="D133" t="str">
            <v>Seventh</v>
          </cell>
          <cell r="E133">
            <v>1.38E-2</v>
          </cell>
          <cell r="F133">
            <v>1.19</v>
          </cell>
          <cell r="G133">
            <v>0.65900000000000003</v>
          </cell>
          <cell r="H133">
            <v>0.43</v>
          </cell>
          <cell r="I133">
            <v>0.53</v>
          </cell>
          <cell r="J133">
            <v>0.35909999999999997</v>
          </cell>
          <cell r="K133">
            <v>4.6387</v>
          </cell>
          <cell r="L133">
            <v>1.0759000000000001</v>
          </cell>
          <cell r="M133">
            <v>0.18709999999999999</v>
          </cell>
          <cell r="N133">
            <v>0.18709999999999999</v>
          </cell>
        </row>
        <row r="134">
          <cell r="A134">
            <v>38108</v>
          </cell>
          <cell r="B134">
            <v>20</v>
          </cell>
          <cell r="C134">
            <v>220</v>
          </cell>
          <cell r="D134" t="str">
            <v>Eighth</v>
          </cell>
          <cell r="E134">
            <v>1.38E-2</v>
          </cell>
          <cell r="F134">
            <v>1.19</v>
          </cell>
          <cell r="G134">
            <v>0.65900000000000003</v>
          </cell>
          <cell r="H134">
            <v>0.43</v>
          </cell>
          <cell r="I134">
            <v>0.53</v>
          </cell>
          <cell r="J134">
            <v>0.35909999999999997</v>
          </cell>
          <cell r="K134">
            <v>4.6387</v>
          </cell>
          <cell r="L134">
            <v>1.0759000000000001</v>
          </cell>
          <cell r="M134">
            <v>0.18709999999999999</v>
          </cell>
          <cell r="N134">
            <v>0.18709999999999999</v>
          </cell>
        </row>
        <row r="135">
          <cell r="A135">
            <v>38139</v>
          </cell>
          <cell r="B135">
            <v>20</v>
          </cell>
          <cell r="C135">
            <v>220</v>
          </cell>
          <cell r="D135" t="str">
            <v>Eighth</v>
          </cell>
          <cell r="E135">
            <v>1.38E-2</v>
          </cell>
          <cell r="F135">
            <v>1.19</v>
          </cell>
          <cell r="G135">
            <v>0.65900000000000003</v>
          </cell>
          <cell r="H135">
            <v>0.43</v>
          </cell>
          <cell r="I135">
            <v>0.53</v>
          </cell>
          <cell r="J135">
            <v>0.35909999999999997</v>
          </cell>
          <cell r="K135">
            <v>4.6387</v>
          </cell>
          <cell r="L135">
            <v>1.0759000000000001</v>
          </cell>
          <cell r="M135">
            <v>0.18709999999999999</v>
          </cell>
          <cell r="N135">
            <v>0.18709999999999999</v>
          </cell>
        </row>
        <row r="136">
          <cell r="A136">
            <v>38169</v>
          </cell>
          <cell r="B136">
            <v>20</v>
          </cell>
          <cell r="C136">
            <v>220</v>
          </cell>
          <cell r="D136" t="str">
            <v>Eighth</v>
          </cell>
          <cell r="E136">
            <v>1.38E-2</v>
          </cell>
          <cell r="F136">
            <v>1.19</v>
          </cell>
          <cell r="G136">
            <v>0.65900000000000003</v>
          </cell>
          <cell r="H136">
            <v>0.43</v>
          </cell>
          <cell r="I136">
            <v>0.53</v>
          </cell>
          <cell r="J136">
            <v>0.35909999999999997</v>
          </cell>
          <cell r="K136">
            <v>4.6387</v>
          </cell>
          <cell r="L136">
            <v>1.0759000000000001</v>
          </cell>
          <cell r="M136">
            <v>0.18709999999999999</v>
          </cell>
          <cell r="N136">
            <v>0.18709999999999999</v>
          </cell>
        </row>
        <row r="137">
          <cell r="A137">
            <v>38200</v>
          </cell>
          <cell r="B137">
            <v>20</v>
          </cell>
          <cell r="C137">
            <v>220</v>
          </cell>
          <cell r="D137" t="str">
            <v>Ninth</v>
          </cell>
          <cell r="E137">
            <v>1.38E-2</v>
          </cell>
          <cell r="F137">
            <v>1.19</v>
          </cell>
          <cell r="G137">
            <v>0.65900000000000003</v>
          </cell>
          <cell r="H137">
            <v>0.43</v>
          </cell>
          <cell r="I137">
            <v>0.53</v>
          </cell>
          <cell r="J137">
            <v>0.35909999999999997</v>
          </cell>
          <cell r="K137">
            <v>4.6387</v>
          </cell>
          <cell r="L137">
            <v>1.0759000000000001</v>
          </cell>
          <cell r="M137">
            <v>0.18709999999999999</v>
          </cell>
          <cell r="N137">
            <v>0.18709999999999999</v>
          </cell>
        </row>
        <row r="138">
          <cell r="A138">
            <v>38231</v>
          </cell>
          <cell r="B138">
            <v>20</v>
          </cell>
          <cell r="C138">
            <v>220</v>
          </cell>
          <cell r="D138" t="str">
            <v>Ninth</v>
          </cell>
          <cell r="E138">
            <v>1.38E-2</v>
          </cell>
          <cell r="F138">
            <v>1.19</v>
          </cell>
          <cell r="G138">
            <v>0.65900000000000003</v>
          </cell>
          <cell r="H138">
            <v>0.43</v>
          </cell>
          <cell r="I138">
            <v>0.53</v>
          </cell>
          <cell r="J138">
            <v>0.35909999999999997</v>
          </cell>
          <cell r="K138">
            <v>4.6387</v>
          </cell>
          <cell r="L138">
            <v>1.0759000000000001</v>
          </cell>
          <cell r="M138">
            <v>0.18709999999999999</v>
          </cell>
          <cell r="N138">
            <v>0.18709999999999999</v>
          </cell>
        </row>
        <row r="139">
          <cell r="A139">
            <v>38261</v>
          </cell>
          <cell r="B139">
            <v>20</v>
          </cell>
          <cell r="C139">
            <v>220</v>
          </cell>
          <cell r="D139" t="str">
            <v>Ninth</v>
          </cell>
          <cell r="E139">
            <v>1.38E-2</v>
          </cell>
          <cell r="F139">
            <v>1.19</v>
          </cell>
          <cell r="G139">
            <v>0.65900000000000003</v>
          </cell>
          <cell r="H139">
            <v>0.43</v>
          </cell>
          <cell r="I139">
            <v>0.53</v>
          </cell>
          <cell r="J139">
            <v>0.35909999999999997</v>
          </cell>
          <cell r="K139">
            <v>4.6387</v>
          </cell>
          <cell r="L139">
            <v>1.0759000000000001</v>
          </cell>
          <cell r="M139">
            <v>0.18709999999999999</v>
          </cell>
          <cell r="N139">
            <v>0.18709999999999999</v>
          </cell>
        </row>
        <row r="140">
          <cell r="A140">
            <v>38292</v>
          </cell>
          <cell r="B140">
            <v>20</v>
          </cell>
          <cell r="C140">
            <v>220</v>
          </cell>
          <cell r="D140" t="str">
            <v>Tenth</v>
          </cell>
          <cell r="E140">
            <v>1.38E-2</v>
          </cell>
          <cell r="F140">
            <v>1.19</v>
          </cell>
          <cell r="G140">
            <v>0.65900000000000003</v>
          </cell>
          <cell r="H140">
            <v>0.43</v>
          </cell>
          <cell r="I140">
            <v>0.53</v>
          </cell>
          <cell r="J140">
            <v>0.35909999999999997</v>
          </cell>
          <cell r="K140">
            <v>4.6207000000000003</v>
          </cell>
          <cell r="L140">
            <v>1.0718000000000001</v>
          </cell>
          <cell r="M140">
            <v>0.18640000000000001</v>
          </cell>
          <cell r="N140">
            <v>0.18640000000000001</v>
          </cell>
        </row>
        <row r="141">
          <cell r="A141">
            <v>38322</v>
          </cell>
          <cell r="B141">
            <v>20</v>
          </cell>
          <cell r="C141">
            <v>220</v>
          </cell>
          <cell r="D141" t="str">
            <v>Tenth</v>
          </cell>
          <cell r="E141">
            <v>1.38E-2</v>
          </cell>
          <cell r="F141">
            <v>1.19</v>
          </cell>
          <cell r="G141">
            <v>0.65900000000000003</v>
          </cell>
          <cell r="H141">
            <v>0.43</v>
          </cell>
          <cell r="I141">
            <v>0.53</v>
          </cell>
          <cell r="J141">
            <v>0.35909999999999997</v>
          </cell>
          <cell r="K141">
            <v>4.6207000000000003</v>
          </cell>
          <cell r="L141">
            <v>1.0718000000000001</v>
          </cell>
          <cell r="M141">
            <v>0.18640000000000001</v>
          </cell>
          <cell r="N141">
            <v>0.18640000000000001</v>
          </cell>
        </row>
        <row r="142">
          <cell r="A142">
            <v>38353</v>
          </cell>
          <cell r="B142">
            <v>20</v>
          </cell>
          <cell r="C142">
            <v>220</v>
          </cell>
          <cell r="D142" t="str">
            <v>Tenth</v>
          </cell>
          <cell r="E142">
            <v>1.38E-2</v>
          </cell>
          <cell r="F142">
            <v>1.19</v>
          </cell>
          <cell r="G142">
            <v>0.65900000000000003</v>
          </cell>
          <cell r="H142">
            <v>0.43</v>
          </cell>
          <cell r="I142">
            <v>0.53</v>
          </cell>
          <cell r="J142">
            <v>0.35909999999999997</v>
          </cell>
          <cell r="K142">
            <v>4.6207000000000003</v>
          </cell>
          <cell r="L142">
            <v>1.0718000000000001</v>
          </cell>
          <cell r="M142">
            <v>0.18640000000000001</v>
          </cell>
          <cell r="N142">
            <v>0.18640000000000001</v>
          </cell>
        </row>
        <row r="143">
          <cell r="A143">
            <v>38384</v>
          </cell>
          <cell r="B143">
            <v>20</v>
          </cell>
          <cell r="C143">
            <v>220</v>
          </cell>
          <cell r="D143" t="str">
            <v>Eleventh</v>
          </cell>
          <cell r="E143">
            <v>1.38E-2</v>
          </cell>
          <cell r="F143">
            <v>1.19</v>
          </cell>
          <cell r="G143">
            <v>0.65900000000000003</v>
          </cell>
          <cell r="H143">
            <v>0.43</v>
          </cell>
          <cell r="I143">
            <v>0.53</v>
          </cell>
          <cell r="J143">
            <v>0.35909999999999997</v>
          </cell>
          <cell r="K143">
            <v>4.6207000000000003</v>
          </cell>
          <cell r="L143">
            <v>1.0718000000000001</v>
          </cell>
          <cell r="M143">
            <v>0.18640000000000001</v>
          </cell>
          <cell r="N143">
            <v>0.18640000000000001</v>
          </cell>
        </row>
        <row r="144">
          <cell r="A144">
            <v>54789</v>
          </cell>
          <cell r="B144">
            <v>13.6</v>
          </cell>
          <cell r="C144">
            <v>150</v>
          </cell>
          <cell r="D144" t="str">
            <v>Sixty-seventh</v>
          </cell>
          <cell r="E144">
            <v>1.9E-2</v>
          </cell>
          <cell r="F144">
            <v>1.0615000000000001</v>
          </cell>
          <cell r="G144">
            <v>0.5585</v>
          </cell>
          <cell r="H144">
            <v>0.40849999999999997</v>
          </cell>
          <cell r="I144">
            <v>0.49359999999999998</v>
          </cell>
          <cell r="J144">
            <v>0.34360000000000002</v>
          </cell>
          <cell r="K144">
            <v>4.2808999999999999</v>
          </cell>
          <cell r="L144">
            <v>0.76990000000000003</v>
          </cell>
          <cell r="M144">
            <v>0.215</v>
          </cell>
          <cell r="N144">
            <v>0.2172</v>
          </cell>
        </row>
      </sheetData>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Main Inputs"/>
      <sheetName val="D1 (Summary)"/>
      <sheetName val="D2 (Purchase Volumes)"/>
      <sheetName val="D3 (Purchase Costs)"/>
      <sheetName val="D4 (Recoveries)"/>
      <sheetName val="D5 (Supply Detail)"/>
      <sheetName val="D6 (Bad Debt)"/>
      <sheetName val="PBR Savings"/>
    </sheetNames>
    <sheetDataSet>
      <sheetData sheetId="0"/>
      <sheetData sheetId="1">
        <row r="5">
          <cell r="C5">
            <v>40513</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10.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11.bin"/><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12.bin"/><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13.bin"/><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14.bin"/><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5.bin"/><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customProperty" Target="../customProperty16.bin"/><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7.bin"/><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customProperty" Target="../customProperty18.bin"/><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customProperty" Target="../customProperty19.bin"/><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customProperty" Target="../customProperty20.bin"/><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customProperty" Target="../customProperty21.bin"/><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customProperty" Target="../customProperty22.bin"/><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printerSettings" Target="../printerSettings/printerSettings24.bin"/><Relationship Id="rId1" Type="http://schemas.openxmlformats.org/officeDocument/2006/relationships/hyperlink" Target="http://www.federalreserve.gov/releases/h15/data/Monthly/H15_NFCP_M3.txt"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customProperty" Target="../customProperty26.bin"/><Relationship Id="rId1" Type="http://schemas.openxmlformats.org/officeDocument/2006/relationships/printerSettings" Target="../printerSettings/printerSettings26.bin"/><Relationship Id="rId4" Type="http://schemas.openxmlformats.org/officeDocument/2006/relationships/comments" Target="../comments17.x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7.bin"/><Relationship Id="rId1" Type="http://schemas.openxmlformats.org/officeDocument/2006/relationships/printerSettings" Target="../printerSettings/printerSettings27.bin"/><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customProperty" Target="../customProperty31.bin"/><Relationship Id="rId1" Type="http://schemas.openxmlformats.org/officeDocument/2006/relationships/printerSettings" Target="../printerSettings/printerSettings31.bin"/><Relationship Id="rId4" Type="http://schemas.openxmlformats.org/officeDocument/2006/relationships/comments" Target="../comments19.xml"/></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printerSettings" Target="../printerSettings/printerSettings36.bin"/><Relationship Id="rId1" Type="http://schemas.openxmlformats.org/officeDocument/2006/relationships/hyperlink" Target="http://atmosphere.atmosenergy.com/home/depts/shsr/gassupply/storage/index.html?d=2&amp;r=3&amp;t=1" TargetMode="External"/><Relationship Id="rId4" Type="http://schemas.openxmlformats.org/officeDocument/2006/relationships/drawing" Target="../drawings/drawing4.xml"/></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8.bin"/><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9.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E45"/>
  <sheetViews>
    <sheetView showGridLines="0" tabSelected="1" zoomScale="115" zoomScaleNormal="115" workbookViewId="0">
      <selection activeCell="B1" sqref="B1"/>
    </sheetView>
  </sheetViews>
  <sheetFormatPr defaultColWidth="9.140625" defaultRowHeight="15"/>
  <cols>
    <col min="1" max="1" width="2.140625" style="581" customWidth="1"/>
    <col min="2" max="2" width="4.28515625" style="581" customWidth="1"/>
    <col min="3" max="3" width="4.5703125" style="579" customWidth="1"/>
    <col min="4" max="4" width="6.85546875" style="580" bestFit="1" customWidth="1"/>
    <col min="5" max="5" width="57" style="581" bestFit="1" customWidth="1"/>
    <col min="6" max="16384" width="9.140625" style="581"/>
  </cols>
  <sheetData>
    <row r="1" spans="1:5" ht="18.75">
      <c r="A1" s="597" t="s">
        <v>729</v>
      </c>
      <c r="B1" s="579"/>
    </row>
    <row r="2" spans="1:5" ht="10.5" customHeight="1">
      <c r="B2" s="583"/>
      <c r="C2" s="583"/>
      <c r="D2" s="583"/>
      <c r="E2" s="583"/>
    </row>
    <row r="3" spans="1:5" ht="15.75" thickBot="1">
      <c r="B3" s="1098" t="s">
        <v>1</v>
      </c>
      <c r="C3" s="1098"/>
      <c r="D3" s="1098"/>
      <c r="E3" s="1098"/>
    </row>
    <row r="4" spans="1:5">
      <c r="C4" s="1099" t="s">
        <v>692</v>
      </c>
      <c r="D4" s="1099"/>
      <c r="E4" s="1099"/>
    </row>
    <row r="5" spans="1:5">
      <c r="D5" s="580" t="s">
        <v>695</v>
      </c>
      <c r="E5" s="581" t="s">
        <v>724</v>
      </c>
    </row>
    <row r="6" spans="1:5">
      <c r="D6" s="580" t="s">
        <v>696</v>
      </c>
      <c r="E6" s="581" t="s">
        <v>727</v>
      </c>
    </row>
    <row r="7" spans="1:5">
      <c r="D7" s="580" t="s">
        <v>697</v>
      </c>
      <c r="E7" s="581" t="s">
        <v>102</v>
      </c>
    </row>
    <row r="9" spans="1:5">
      <c r="C9" s="1099" t="s">
        <v>698</v>
      </c>
      <c r="D9" s="1099"/>
      <c r="E9" s="1099"/>
    </row>
    <row r="10" spans="1:5">
      <c r="D10" t="s">
        <v>8</v>
      </c>
      <c r="E10" t="s">
        <v>47</v>
      </c>
    </row>
    <row r="11" spans="1:5">
      <c r="D11" t="s">
        <v>7</v>
      </c>
      <c r="E11" t="s">
        <v>54</v>
      </c>
    </row>
    <row r="13" spans="1:5">
      <c r="C13" s="1099" t="s">
        <v>699</v>
      </c>
      <c r="D13" s="1099"/>
      <c r="E13" s="1099"/>
    </row>
    <row r="14" spans="1:5">
      <c r="D14" s="580" t="s">
        <v>684</v>
      </c>
      <c r="E14" s="581" t="s">
        <v>253</v>
      </c>
    </row>
    <row r="15" spans="1:5">
      <c r="D15" s="580" t="s">
        <v>685</v>
      </c>
      <c r="E15" s="581" t="s">
        <v>271</v>
      </c>
    </row>
    <row r="16" spans="1:5">
      <c r="D16" s="580" t="s">
        <v>686</v>
      </c>
      <c r="E16" s="581" t="s">
        <v>336</v>
      </c>
    </row>
    <row r="17" spans="3:5">
      <c r="D17" s="580" t="s">
        <v>687</v>
      </c>
      <c r="E17" s="581" t="s">
        <v>350</v>
      </c>
    </row>
    <row r="18" spans="3:5">
      <c r="D18" s="580" t="s">
        <v>688</v>
      </c>
      <c r="E18" s="581" t="s">
        <v>360</v>
      </c>
    </row>
    <row r="19" spans="3:5">
      <c r="D19" s="580" t="s">
        <v>689</v>
      </c>
      <c r="E19" s="581" t="s">
        <v>383</v>
      </c>
    </row>
    <row r="20" spans="3:5">
      <c r="D20" s="580" t="s">
        <v>690</v>
      </c>
      <c r="E20" s="581" t="s">
        <v>402</v>
      </c>
    </row>
    <row r="21" spans="3:5">
      <c r="D21" s="580" t="s">
        <v>691</v>
      </c>
      <c r="E21" s="581" t="s">
        <v>417</v>
      </c>
    </row>
    <row r="23" spans="3:5">
      <c r="C23" s="1099" t="s">
        <v>700</v>
      </c>
      <c r="D23" s="1099"/>
      <c r="E23" s="1099"/>
    </row>
    <row r="24" spans="3:5">
      <c r="D24" s="580" t="s">
        <v>693</v>
      </c>
      <c r="E24" s="581" t="s">
        <v>442</v>
      </c>
    </row>
    <row r="25" spans="3:5">
      <c r="D25" s="580" t="s">
        <v>694</v>
      </c>
      <c r="E25" s="581" t="s">
        <v>716</v>
      </c>
    </row>
    <row r="27" spans="3:5">
      <c r="C27" s="1099" t="s">
        <v>701</v>
      </c>
      <c r="D27" s="1099"/>
      <c r="E27" s="1099"/>
    </row>
    <row r="28" spans="3:5">
      <c r="C28" s="580"/>
      <c r="D28" s="581" t="s">
        <v>705</v>
      </c>
      <c r="E28" s="581" t="s">
        <v>711</v>
      </c>
    </row>
    <row r="29" spans="3:5">
      <c r="C29" s="580"/>
      <c r="D29" s="581" t="s">
        <v>706</v>
      </c>
      <c r="E29" s="581" t="s">
        <v>713</v>
      </c>
    </row>
    <row r="30" spans="3:5">
      <c r="C30" s="580"/>
      <c r="D30" s="581" t="s">
        <v>707</v>
      </c>
      <c r="E30" s="581" t="s">
        <v>714</v>
      </c>
    </row>
    <row r="31" spans="3:5">
      <c r="C31" s="580"/>
      <c r="D31" s="581" t="s">
        <v>708</v>
      </c>
      <c r="E31" s="581" t="s">
        <v>712</v>
      </c>
    </row>
    <row r="32" spans="3:5">
      <c r="C32" s="580"/>
      <c r="D32" s="581" t="s">
        <v>709</v>
      </c>
      <c r="E32" s="581" t="s">
        <v>715</v>
      </c>
    </row>
    <row r="33" spans="2:5">
      <c r="C33" s="580"/>
      <c r="D33" s="581" t="s">
        <v>710</v>
      </c>
      <c r="E33" s="581" t="s">
        <v>576</v>
      </c>
    </row>
    <row r="34" spans="2:5">
      <c r="C34" s="580"/>
    </row>
    <row r="35" spans="2:5">
      <c r="C35" s="1099" t="s">
        <v>702</v>
      </c>
      <c r="D35" s="1099"/>
      <c r="E35" s="1099"/>
    </row>
    <row r="36" spans="2:5">
      <c r="D36" s="580" t="s">
        <v>703</v>
      </c>
    </row>
    <row r="37" spans="2:5">
      <c r="D37" s="580" t="s">
        <v>704</v>
      </c>
    </row>
    <row r="39" spans="2:5" ht="15.75" thickBot="1">
      <c r="B39" s="1098" t="s">
        <v>722</v>
      </c>
      <c r="C39" s="1098"/>
      <c r="D39" s="1098"/>
      <c r="E39" s="1098"/>
    </row>
    <row r="40" spans="2:5">
      <c r="B40" s="579"/>
      <c r="C40" s="580"/>
      <c r="D40" s="581"/>
      <c r="E40" s="581" t="s">
        <v>721</v>
      </c>
    </row>
    <row r="41" spans="2:5">
      <c r="B41" s="579"/>
      <c r="C41" s="580"/>
      <c r="D41" s="581"/>
      <c r="E41" s="581" t="s">
        <v>771</v>
      </c>
    </row>
    <row r="42" spans="2:5">
      <c r="B42" s="579"/>
      <c r="C42" s="580"/>
      <c r="D42" s="581"/>
      <c r="E42" s="581" t="s">
        <v>223</v>
      </c>
    </row>
    <row r="43" spans="2:5">
      <c r="D43" s="580" t="s">
        <v>717</v>
      </c>
      <c r="E43" s="581" t="s">
        <v>718</v>
      </c>
    </row>
    <row r="44" spans="2:5">
      <c r="D44" s="580" t="s">
        <v>719</v>
      </c>
      <c r="E44" s="581" t="s">
        <v>720</v>
      </c>
    </row>
    <row r="45" spans="2:5">
      <c r="D45" s="580" t="s">
        <v>726</v>
      </c>
      <c r="E45" s="581" t="s">
        <v>222</v>
      </c>
    </row>
  </sheetData>
  <mergeCells count="8">
    <mergeCell ref="B3:E3"/>
    <mergeCell ref="C4:E4"/>
    <mergeCell ref="C9:E9"/>
    <mergeCell ref="B39:E39"/>
    <mergeCell ref="C23:E23"/>
    <mergeCell ref="C27:E27"/>
    <mergeCell ref="C35:E35"/>
    <mergeCell ref="C13:E13"/>
  </mergeCells>
  <pageMargins left="0.5" right="0.5" top="0.5" bottom="0.5" header="0.3" footer="0.3"/>
  <pageSetup orientation="portrait" r:id="rId1"/>
  <headerFooter>
    <oddHeader xml:space="preserve">&amp;R&amp;8CASE NO. 2015-00343
ATTACHMENT 40
TO STAFF DR NO. 1-59
</odd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Q57"/>
  <sheetViews>
    <sheetView zoomScaleNormal="100" workbookViewId="0">
      <selection activeCell="G11" sqref="G11"/>
    </sheetView>
  </sheetViews>
  <sheetFormatPr defaultColWidth="9.85546875" defaultRowHeight="14.25"/>
  <cols>
    <col min="1" max="1" width="5.85546875" style="170" customWidth="1"/>
    <col min="2" max="2" width="16.85546875" style="170" customWidth="1"/>
    <col min="3" max="3" width="11.28515625" style="170" customWidth="1"/>
    <col min="4" max="4" width="17.85546875" style="170" bestFit="1" customWidth="1"/>
    <col min="5" max="5" width="8.42578125" style="170" bestFit="1" customWidth="1"/>
    <col min="6" max="6" width="13" style="170" bestFit="1" customWidth="1"/>
    <col min="7" max="7" width="16.140625" style="170" bestFit="1" customWidth="1"/>
    <col min="8" max="8" width="11.28515625" style="170" customWidth="1"/>
    <col min="9" max="9" width="14.140625" style="170" customWidth="1"/>
    <col min="10" max="10" width="10.140625" style="170" bestFit="1" customWidth="1"/>
    <col min="11" max="11" width="10.85546875" style="170" bestFit="1" customWidth="1"/>
    <col min="12" max="12" width="14.7109375" style="170" bestFit="1" customWidth="1"/>
    <col min="13" max="13" width="17.140625" style="170" bestFit="1" customWidth="1"/>
    <col min="14" max="14" width="11.7109375" style="170" bestFit="1" customWidth="1"/>
    <col min="15" max="15" width="10.85546875" style="170" bestFit="1" customWidth="1"/>
    <col min="16" max="16384" width="9.85546875" style="170"/>
  </cols>
  <sheetData>
    <row r="1" spans="1:15" ht="15">
      <c r="A1" s="213" t="s">
        <v>51</v>
      </c>
      <c r="B1" s="211"/>
      <c r="C1" s="211"/>
      <c r="D1" s="211"/>
      <c r="E1" s="150"/>
      <c r="F1" s="150"/>
      <c r="G1" s="150"/>
      <c r="H1" s="150"/>
      <c r="I1" s="187" t="s">
        <v>256</v>
      </c>
    </row>
    <row r="2" spans="1:15">
      <c r="A2" s="211" t="str">
        <f>B.1!A2</f>
        <v>Expected Gas Cost (EGC) Calculation</v>
      </c>
      <c r="B2" s="211"/>
      <c r="C2" s="211"/>
      <c r="D2" s="211"/>
      <c r="E2" s="150"/>
      <c r="F2" s="150"/>
      <c r="G2" s="150"/>
      <c r="H2" s="150"/>
      <c r="I2" s="187" t="s">
        <v>337</v>
      </c>
    </row>
    <row r="3" spans="1:15">
      <c r="A3" s="212" t="s">
        <v>336</v>
      </c>
      <c r="B3" s="211"/>
      <c r="C3" s="211"/>
      <c r="D3" s="211"/>
      <c r="E3" s="150"/>
      <c r="F3" s="150"/>
      <c r="G3" s="150"/>
      <c r="H3" s="150"/>
      <c r="I3" s="187"/>
    </row>
    <row r="4" spans="1:15">
      <c r="A4" s="187"/>
      <c r="B4" s="187"/>
      <c r="C4" s="187"/>
      <c r="D4" s="187"/>
      <c r="E4" s="135"/>
      <c r="F4" s="135"/>
      <c r="G4" s="135"/>
      <c r="H4" s="165"/>
      <c r="I4" s="187"/>
    </row>
    <row r="5" spans="1:15">
      <c r="A5" s="209"/>
      <c r="B5" s="187"/>
      <c r="C5" s="187"/>
      <c r="E5" s="133"/>
      <c r="F5" s="133"/>
      <c r="G5" s="133"/>
      <c r="H5" s="133"/>
    </row>
    <row r="6" spans="1:15" ht="15">
      <c r="A6" s="203"/>
      <c r="B6" s="203"/>
      <c r="C6" s="203"/>
      <c r="D6" s="193" t="s">
        <v>46</v>
      </c>
      <c r="E6" s="159" t="s">
        <v>45</v>
      </c>
      <c r="F6" s="159" t="s">
        <v>44</v>
      </c>
      <c r="G6" s="159" t="s">
        <v>252</v>
      </c>
      <c r="H6" s="159" t="s">
        <v>251</v>
      </c>
      <c r="I6" s="171" t="s">
        <v>335</v>
      </c>
    </row>
    <row r="7" spans="1:15" ht="15">
      <c r="A7" s="208" t="s">
        <v>43</v>
      </c>
      <c r="B7" s="203"/>
      <c r="C7" s="203"/>
      <c r="D7" s="208" t="s">
        <v>0</v>
      </c>
      <c r="E7" s="160"/>
      <c r="F7" s="229"/>
      <c r="G7" s="229"/>
      <c r="H7" s="160"/>
      <c r="I7" s="203"/>
    </row>
    <row r="8" spans="1:15" ht="15">
      <c r="A8" s="204" t="s">
        <v>42</v>
      </c>
      <c r="B8" s="206" t="s">
        <v>41</v>
      </c>
      <c r="C8" s="206"/>
      <c r="D8" s="204" t="s">
        <v>248</v>
      </c>
      <c r="E8" s="161"/>
      <c r="F8" s="164" t="s">
        <v>334</v>
      </c>
      <c r="G8" s="164"/>
      <c r="H8" s="162" t="s">
        <v>246</v>
      </c>
      <c r="I8" s="204" t="s">
        <v>245</v>
      </c>
      <c r="L8" s="983" t="s">
        <v>1044</v>
      </c>
      <c r="M8" s="716"/>
    </row>
    <row r="9" spans="1:15" ht="15">
      <c r="A9" s="187"/>
      <c r="B9" s="203"/>
      <c r="C9" s="187"/>
      <c r="D9" s="187"/>
      <c r="E9" s="135"/>
      <c r="F9" s="159" t="s">
        <v>22</v>
      </c>
      <c r="G9" s="159" t="s">
        <v>244</v>
      </c>
      <c r="H9" s="159" t="s">
        <v>243</v>
      </c>
      <c r="I9" s="193" t="s">
        <v>242</v>
      </c>
      <c r="M9" s="716"/>
    </row>
    <row r="10" spans="1:15" ht="15">
      <c r="A10" s="187"/>
      <c r="B10" s="202"/>
      <c r="C10" s="187"/>
      <c r="D10" s="135"/>
      <c r="E10" s="135"/>
      <c r="F10" s="135"/>
      <c r="G10" s="201"/>
      <c r="H10" s="135"/>
      <c r="I10" s="135"/>
      <c r="M10" s="716"/>
    </row>
    <row r="11" spans="1:15">
      <c r="A11" s="172" t="s">
        <v>333</v>
      </c>
      <c r="B11" s="197" t="s">
        <v>332</v>
      </c>
      <c r="C11" s="187"/>
      <c r="D11" s="135"/>
      <c r="E11" s="141"/>
      <c r="F11" s="141"/>
      <c r="G11" s="811">
        <v>2154723</v>
      </c>
      <c r="H11" s="135"/>
      <c r="I11" s="135"/>
      <c r="K11" s="133"/>
      <c r="L11" s="982">
        <f>+C.2!N11*0.55</f>
        <v>2154722.9000000004</v>
      </c>
      <c r="M11" s="716"/>
    </row>
    <row r="12" spans="1:15">
      <c r="A12" s="172" t="s">
        <v>56</v>
      </c>
      <c r="B12" s="187" t="s">
        <v>324</v>
      </c>
      <c r="C12" s="187"/>
      <c r="D12" s="135"/>
      <c r="E12" s="135"/>
      <c r="F12" s="135"/>
      <c r="G12" s="135"/>
      <c r="H12" s="140">
        <f>C.1!$B$35</f>
        <v>2.9079999999999999</v>
      </c>
      <c r="I12" s="141">
        <f>ROUND($G$11*$H$12,0)</f>
        <v>6265934</v>
      </c>
      <c r="K12" s="133"/>
      <c r="L12" s="982"/>
      <c r="M12" s="716"/>
      <c r="N12" s="195"/>
    </row>
    <row r="13" spans="1:15">
      <c r="A13" s="172" t="s">
        <v>331</v>
      </c>
      <c r="B13" s="187" t="s">
        <v>308</v>
      </c>
      <c r="C13" s="187"/>
      <c r="D13" s="146" t="s">
        <v>235</v>
      </c>
      <c r="E13" s="135"/>
      <c r="F13" s="135"/>
      <c r="G13" s="200"/>
      <c r="H13" s="1038">
        <v>4.9000000000000002E-2</v>
      </c>
      <c r="I13" s="141">
        <f>ROUND($G$11*$H$13,0)</f>
        <v>105581</v>
      </c>
      <c r="K13" s="145"/>
      <c r="L13" s="982"/>
      <c r="M13" s="716"/>
    </row>
    <row r="14" spans="1:15">
      <c r="A14" s="172" t="s">
        <v>330</v>
      </c>
      <c r="B14" s="135" t="s">
        <v>306</v>
      </c>
      <c r="C14" s="135"/>
      <c r="D14" s="159" t="s">
        <v>305</v>
      </c>
      <c r="E14" s="1039">
        <v>2.52E-2</v>
      </c>
      <c r="F14" s="135"/>
      <c r="G14" s="135"/>
      <c r="H14" s="198">
        <f>ROUND(H12/(1-E14)-H12,4)</f>
        <v>7.5200000000000003E-2</v>
      </c>
      <c r="I14" s="178">
        <f>ROUND($G$11*$H$14,0)</f>
        <v>162035</v>
      </c>
      <c r="K14" s="145"/>
      <c r="L14" s="982"/>
      <c r="M14" s="716"/>
      <c r="N14" s="195"/>
    </row>
    <row r="15" spans="1:15">
      <c r="A15" s="172" t="s">
        <v>329</v>
      </c>
      <c r="B15" s="187"/>
      <c r="C15" s="187"/>
      <c r="D15" s="159"/>
      <c r="E15" s="813"/>
      <c r="F15" s="135"/>
      <c r="G15" s="135"/>
      <c r="H15" s="140">
        <f>SUM(H12:H14)</f>
        <v>3.0322</v>
      </c>
      <c r="I15" s="141">
        <f>SUM(I12:I14)</f>
        <v>6533550</v>
      </c>
      <c r="K15" s="133"/>
      <c r="L15" s="982"/>
      <c r="M15" s="716"/>
    </row>
    <row r="16" spans="1:15">
      <c r="A16" s="172" t="s">
        <v>328</v>
      </c>
      <c r="B16" s="187"/>
      <c r="C16" s="187"/>
      <c r="D16" s="159"/>
      <c r="E16" s="813"/>
      <c r="F16" s="135"/>
      <c r="G16" s="135"/>
      <c r="H16" s="140"/>
      <c r="I16" s="141"/>
      <c r="L16" s="982"/>
      <c r="M16" s="716"/>
      <c r="N16" s="1083"/>
      <c r="O16" s="195"/>
    </row>
    <row r="17" spans="1:17">
      <c r="A17" s="172" t="s">
        <v>327</v>
      </c>
      <c r="B17" s="197" t="s">
        <v>326</v>
      </c>
      <c r="C17" s="187"/>
      <c r="D17" s="159"/>
      <c r="E17" s="813"/>
      <c r="F17" s="135"/>
      <c r="G17" s="811">
        <v>1762955</v>
      </c>
      <c r="H17" s="140"/>
      <c r="I17" s="141"/>
      <c r="K17" s="195"/>
      <c r="L17" s="982">
        <f>+C.2!N11*0.45</f>
        <v>1762955.1</v>
      </c>
      <c r="M17" s="716"/>
    </row>
    <row r="18" spans="1:17">
      <c r="A18" s="172" t="s">
        <v>325</v>
      </c>
      <c r="B18" s="187" t="s">
        <v>324</v>
      </c>
      <c r="C18" s="187"/>
      <c r="D18" s="159"/>
      <c r="E18" s="813"/>
      <c r="F18" s="135"/>
      <c r="G18" s="135"/>
      <c r="H18" s="140">
        <f>C.1!$B$35</f>
        <v>2.9079999999999999</v>
      </c>
      <c r="I18" s="141">
        <f>ROUND($G$17*$H$18,0)</f>
        <v>5126673</v>
      </c>
      <c r="M18" s="716"/>
    </row>
    <row r="19" spans="1:17">
      <c r="A19" s="172" t="s">
        <v>323</v>
      </c>
      <c r="B19" s="187" t="s">
        <v>322</v>
      </c>
      <c r="C19" s="187"/>
      <c r="D19" s="217"/>
      <c r="E19" s="813"/>
      <c r="F19" s="135"/>
      <c r="G19" s="135"/>
      <c r="H19" s="140">
        <f>I45</f>
        <v>4.4500000000000005E-2</v>
      </c>
      <c r="I19" s="141">
        <f>ROUND($G$17*$H$19,0)</f>
        <v>78451</v>
      </c>
      <c r="M19" s="716"/>
    </row>
    <row r="20" spans="1:17" ht="15">
      <c r="A20" s="172" t="s">
        <v>321</v>
      </c>
      <c r="B20" s="187" t="s">
        <v>320</v>
      </c>
      <c r="C20" s="187"/>
      <c r="D20" s="146" t="s">
        <v>230</v>
      </c>
      <c r="E20" s="813"/>
      <c r="F20" s="135"/>
      <c r="G20" s="135"/>
      <c r="H20" s="1038">
        <v>1.4E-3</v>
      </c>
      <c r="I20" s="141">
        <f>ROUND($G$17*$H$20,0)</f>
        <v>2468</v>
      </c>
      <c r="J20" s="199"/>
      <c r="M20" s="716"/>
    </row>
    <row r="21" spans="1:17">
      <c r="A21" s="172" t="s">
        <v>319</v>
      </c>
      <c r="B21" s="135" t="s">
        <v>306</v>
      </c>
      <c r="C21" s="135"/>
      <c r="D21" s="159" t="s">
        <v>305</v>
      </c>
      <c r="E21" s="1039">
        <v>2.52E-2</v>
      </c>
      <c r="F21" s="135"/>
      <c r="G21" s="135"/>
      <c r="H21" s="198">
        <f>ROUND(H18/(1-E21)-H18,4)</f>
        <v>7.5200000000000003E-2</v>
      </c>
      <c r="I21" s="178">
        <f>ROUND($G$17*$H$21,0)</f>
        <v>132574</v>
      </c>
      <c r="L21" s="195"/>
      <c r="M21" s="716"/>
      <c r="N21" s="195"/>
    </row>
    <row r="22" spans="1:17">
      <c r="A22" s="172" t="s">
        <v>318</v>
      </c>
      <c r="B22" s="187"/>
      <c r="C22" s="187"/>
      <c r="D22" s="159"/>
      <c r="E22" s="813"/>
      <c r="F22" s="135"/>
      <c r="G22" s="135"/>
      <c r="H22" s="140">
        <f>SUM(H18:H21)</f>
        <v>3.0291000000000001</v>
      </c>
      <c r="I22" s="141">
        <f>SUM(I18:I21)</f>
        <v>5340166</v>
      </c>
      <c r="M22" s="716"/>
    </row>
    <row r="23" spans="1:17">
      <c r="A23" s="172" t="s">
        <v>317</v>
      </c>
      <c r="B23" s="197" t="s">
        <v>316</v>
      </c>
      <c r="C23" s="187"/>
      <c r="D23" s="159"/>
      <c r="E23" s="813"/>
      <c r="F23" s="135"/>
      <c r="G23" s="135"/>
      <c r="H23" s="140"/>
      <c r="I23" s="135"/>
      <c r="L23" s="195"/>
      <c r="M23" s="716"/>
      <c r="N23" s="195"/>
    </row>
    <row r="24" spans="1:17">
      <c r="A24" s="172" t="s">
        <v>315</v>
      </c>
      <c r="B24" s="187" t="s">
        <v>314</v>
      </c>
      <c r="C24" s="187"/>
      <c r="D24" s="159"/>
      <c r="E24" s="813"/>
      <c r="F24" s="135"/>
      <c r="G24" s="133"/>
      <c r="H24" s="140"/>
      <c r="I24" s="135"/>
      <c r="M24" s="716"/>
    </row>
    <row r="25" spans="1:17">
      <c r="A25" s="172" t="s">
        <v>313</v>
      </c>
      <c r="B25" s="187" t="s">
        <v>312</v>
      </c>
      <c r="C25" s="187"/>
      <c r="D25" s="159"/>
      <c r="E25" s="813"/>
      <c r="F25" s="135"/>
      <c r="G25" s="977">
        <v>0</v>
      </c>
      <c r="H25" s="140">
        <f>Storage!D18</f>
        <v>3.1680000000000001</v>
      </c>
      <c r="I25" s="141">
        <f>ROUND($G$25*$H$25,0)</f>
        <v>0</v>
      </c>
      <c r="K25" s="195"/>
      <c r="L25" s="195"/>
      <c r="M25" s="716"/>
      <c r="N25" s="195"/>
      <c r="Q25" s="196"/>
    </row>
    <row r="26" spans="1:17">
      <c r="A26" s="172" t="s">
        <v>311</v>
      </c>
      <c r="B26" s="187" t="s">
        <v>310</v>
      </c>
      <c r="D26" s="133"/>
      <c r="E26" s="814"/>
      <c r="F26" s="133"/>
      <c r="G26" s="977">
        <v>-1493723.57</v>
      </c>
      <c r="H26" s="140">
        <f>C.1!$B$35</f>
        <v>2.9079999999999999</v>
      </c>
      <c r="I26" s="145">
        <f>ROUND(G26*$H$26,4)</f>
        <v>-4343748.1415999997</v>
      </c>
      <c r="L26" s="195"/>
      <c r="M26" s="716"/>
    </row>
    <row r="27" spans="1:17">
      <c r="A27" s="172" t="s">
        <v>309</v>
      </c>
      <c r="B27" s="187" t="s">
        <v>308</v>
      </c>
      <c r="C27" s="187"/>
      <c r="D27" s="146" t="s">
        <v>235</v>
      </c>
      <c r="E27" s="813"/>
      <c r="F27" s="135"/>
      <c r="G27" s="141"/>
      <c r="H27" s="1038">
        <v>4.9000000000000002E-2</v>
      </c>
      <c r="I27" s="141">
        <f>ROUND(($G$25+$G$26)*$H$27,0)</f>
        <v>-73192</v>
      </c>
      <c r="M27" s="716"/>
    </row>
    <row r="28" spans="1:17">
      <c r="A28" s="172" t="s">
        <v>307</v>
      </c>
      <c r="B28" s="187" t="s">
        <v>306</v>
      </c>
      <c r="C28" s="187"/>
      <c r="D28" s="159" t="s">
        <v>305</v>
      </c>
      <c r="E28" s="1039">
        <v>2.52E-2</v>
      </c>
      <c r="F28" s="135"/>
      <c r="G28" s="135"/>
      <c r="H28" s="198">
        <f>ROUND(H26/(1-E28)-H26,4)</f>
        <v>7.5200000000000003E-2</v>
      </c>
      <c r="I28" s="178">
        <f>ROUND(($G$25+$G$26)*$H$28,0)</f>
        <v>-112328</v>
      </c>
      <c r="M28" s="716"/>
    </row>
    <row r="29" spans="1:17">
      <c r="A29" s="172" t="s">
        <v>304</v>
      </c>
      <c r="B29" s="187"/>
      <c r="C29" s="187"/>
      <c r="D29" s="135"/>
      <c r="E29" s="813"/>
      <c r="F29" s="135"/>
      <c r="G29" s="143">
        <f>G25+G26</f>
        <v>-1493723.57</v>
      </c>
      <c r="H29" s="140">
        <f>I29/G29</f>
        <v>3.0321996871214929</v>
      </c>
      <c r="I29" s="141">
        <f>SUM(I25:I28)</f>
        <v>-4529268.1415999997</v>
      </c>
    </row>
    <row r="30" spans="1:17">
      <c r="A30" s="172" t="s">
        <v>303</v>
      </c>
      <c r="B30" s="187"/>
      <c r="C30" s="187"/>
      <c r="D30" s="135"/>
      <c r="E30" s="135"/>
      <c r="F30" s="135"/>
      <c r="G30" s="135"/>
      <c r="H30" s="140"/>
      <c r="I30" s="135"/>
    </row>
    <row r="31" spans="1:17">
      <c r="A31" s="172" t="s">
        <v>302</v>
      </c>
      <c r="B31" s="187"/>
      <c r="C31" s="187"/>
      <c r="D31" s="135"/>
      <c r="E31" s="135"/>
      <c r="F31" s="135"/>
      <c r="G31" s="135"/>
      <c r="H31" s="140"/>
      <c r="I31" s="135"/>
    </row>
    <row r="32" spans="1:17" ht="15" thickBot="1">
      <c r="A32" s="172" t="s">
        <v>301</v>
      </c>
      <c r="B32" s="187" t="s">
        <v>300</v>
      </c>
      <c r="C32" s="187"/>
      <c r="D32" s="135"/>
      <c r="E32" s="135"/>
      <c r="F32" s="141"/>
      <c r="G32" s="619">
        <f>G11+G17+G29</f>
        <v>2423954.4299999997</v>
      </c>
      <c r="H32" s="214">
        <f>ROUND(I32/G32,4)</f>
        <v>3.0299</v>
      </c>
      <c r="I32" s="619">
        <f>I15+I22+I29</f>
        <v>7344447.8584000003</v>
      </c>
      <c r="M32" s="716"/>
    </row>
    <row r="33" spans="1:13" ht="15" thickTop="1">
      <c r="A33" s="172" t="s">
        <v>266</v>
      </c>
      <c r="D33" s="133"/>
      <c r="E33" s="133"/>
      <c r="F33" s="133"/>
      <c r="G33" s="133"/>
      <c r="H33" s="133"/>
      <c r="I33" s="133"/>
      <c r="J33" s="187"/>
      <c r="K33" s="187"/>
      <c r="L33" s="186"/>
      <c r="M33" s="716"/>
    </row>
    <row r="34" spans="1:13">
      <c r="A34" s="172" t="s">
        <v>299</v>
      </c>
      <c r="D34" s="133"/>
      <c r="E34" s="133"/>
      <c r="F34" s="133"/>
      <c r="G34" s="133"/>
      <c r="H34" s="133"/>
      <c r="I34" s="133"/>
      <c r="J34" s="189"/>
      <c r="L34" s="187"/>
      <c r="M34" s="716"/>
    </row>
    <row r="35" spans="1:13" ht="15" thickBot="1">
      <c r="A35" s="172" t="s">
        <v>298</v>
      </c>
      <c r="B35" s="194" t="s">
        <v>297</v>
      </c>
      <c r="C35" s="194"/>
      <c r="D35" s="620"/>
      <c r="E35" s="620"/>
      <c r="F35" s="620"/>
      <c r="G35" s="621"/>
      <c r="H35" s="620"/>
      <c r="I35" s="620"/>
      <c r="J35" s="189"/>
      <c r="L35" s="186"/>
    </row>
    <row r="36" spans="1:13">
      <c r="A36" s="172" t="s">
        <v>296</v>
      </c>
      <c r="B36" s="189"/>
      <c r="C36" s="189"/>
      <c r="D36" s="154"/>
      <c r="E36" s="154"/>
      <c r="F36" s="154"/>
      <c r="G36" s="154"/>
      <c r="H36" s="154"/>
      <c r="I36" s="154"/>
      <c r="J36" s="189"/>
      <c r="L36" s="187"/>
    </row>
    <row r="37" spans="1:13">
      <c r="A37" s="172" t="s">
        <v>295</v>
      </c>
      <c r="B37" s="189"/>
      <c r="C37" s="187"/>
      <c r="D37" s="135"/>
      <c r="E37" s="135"/>
      <c r="F37" s="159" t="s">
        <v>294</v>
      </c>
      <c r="G37" s="135"/>
      <c r="H37" s="159" t="s">
        <v>32</v>
      </c>
      <c r="I37" s="154"/>
      <c r="J37" s="189"/>
      <c r="L37" s="187"/>
    </row>
    <row r="38" spans="1:13">
      <c r="A38" s="172" t="s">
        <v>293</v>
      </c>
      <c r="B38" s="189"/>
      <c r="C38" s="187"/>
      <c r="D38" s="135"/>
      <c r="E38" s="135"/>
      <c r="F38" s="159" t="s">
        <v>292</v>
      </c>
      <c r="G38" s="135"/>
      <c r="H38" s="231" t="s">
        <v>291</v>
      </c>
      <c r="I38" s="180" t="s">
        <v>290</v>
      </c>
      <c r="J38" s="189"/>
      <c r="L38" s="187"/>
    </row>
    <row r="39" spans="1:13">
      <c r="A39" s="172" t="s">
        <v>289</v>
      </c>
      <c r="B39" s="191" t="s">
        <v>288</v>
      </c>
      <c r="C39" s="190" t="s">
        <v>287</v>
      </c>
      <c r="D39" s="180"/>
      <c r="E39" s="135"/>
      <c r="F39" s="236" t="s">
        <v>244</v>
      </c>
      <c r="G39" s="236" t="s">
        <v>286</v>
      </c>
      <c r="H39" s="236" t="s">
        <v>243</v>
      </c>
      <c r="I39" s="236" t="s">
        <v>285</v>
      </c>
      <c r="J39" s="189"/>
      <c r="L39" s="187"/>
    </row>
    <row r="40" spans="1:13" s="133" customFormat="1">
      <c r="A40" s="172" t="s">
        <v>284</v>
      </c>
      <c r="B40" s="189" t="s">
        <v>241</v>
      </c>
      <c r="C40" s="188">
        <v>1</v>
      </c>
      <c r="D40" s="146" t="s">
        <v>230</v>
      </c>
      <c r="E40" s="135"/>
      <c r="F40" s="141">
        <f>B.1!E14</f>
        <v>12340360</v>
      </c>
      <c r="G40" s="184">
        <f>ROUND($F$40/$F$45,4)</f>
        <v>0.20699999999999999</v>
      </c>
      <c r="H40" s="1040">
        <v>3.9899999999999998E-2</v>
      </c>
      <c r="I40" s="622">
        <f>ROUND(G40*H40,4)</f>
        <v>8.3000000000000001E-3</v>
      </c>
      <c r="J40" s="154"/>
      <c r="L40" s="135"/>
    </row>
    <row r="41" spans="1:13" s="133" customFormat="1">
      <c r="A41" s="172" t="s">
        <v>283</v>
      </c>
      <c r="B41" s="154" t="s">
        <v>239</v>
      </c>
      <c r="C41" s="176"/>
      <c r="D41" s="146" t="s">
        <v>230</v>
      </c>
      <c r="E41" s="135"/>
      <c r="F41" s="141">
        <f>B.1!E26</f>
        <v>37449088</v>
      </c>
      <c r="G41" s="184">
        <f>ROUND($F$41/$F$45,4)</f>
        <v>0.62819999999999998</v>
      </c>
      <c r="H41" s="812">
        <v>4.4499999999999998E-2</v>
      </c>
      <c r="I41" s="622">
        <f>ROUND(G41*H41,4)</f>
        <v>2.8000000000000001E-2</v>
      </c>
      <c r="J41" s="154"/>
      <c r="L41" s="135"/>
    </row>
    <row r="42" spans="1:13" s="133" customFormat="1">
      <c r="A42" s="172" t="s">
        <v>282</v>
      </c>
      <c r="B42" s="154" t="s">
        <v>281</v>
      </c>
      <c r="C42" s="176"/>
      <c r="D42" s="146" t="s">
        <v>230</v>
      </c>
      <c r="E42" s="135"/>
      <c r="F42" s="141">
        <f>B.1!E32</f>
        <v>1093740</v>
      </c>
      <c r="G42" s="184">
        <f>ROUND($F$42/$F$45,4)</f>
        <v>1.83E-2</v>
      </c>
      <c r="H42" s="812">
        <v>4.2200000000000001E-2</v>
      </c>
      <c r="I42" s="622">
        <f>ROUND(G42*H42,4)</f>
        <v>8.0000000000000004E-4</v>
      </c>
      <c r="J42" s="154"/>
      <c r="L42" s="135"/>
    </row>
    <row r="43" spans="1:13" s="133" customFormat="1">
      <c r="A43" s="172" t="s">
        <v>280</v>
      </c>
      <c r="B43" s="154" t="s">
        <v>237</v>
      </c>
      <c r="C43" s="176"/>
      <c r="D43" s="146" t="s">
        <v>230</v>
      </c>
      <c r="E43" s="135"/>
      <c r="F43" s="141">
        <f>B.1!E44</f>
        <v>6423269</v>
      </c>
      <c r="G43" s="184">
        <f>ROUND($F$43/$F$45,4)</f>
        <v>0.1077</v>
      </c>
      <c r="H43" s="812">
        <v>5.28E-2</v>
      </c>
      <c r="I43" s="622">
        <f>ROUND(G43*H43,4)</f>
        <v>5.7000000000000002E-3</v>
      </c>
      <c r="J43" s="154"/>
      <c r="L43" s="135"/>
    </row>
    <row r="44" spans="1:13" s="133" customFormat="1" ht="16.5">
      <c r="A44" s="172" t="s">
        <v>279</v>
      </c>
      <c r="B44" s="154" t="s">
        <v>852</v>
      </c>
      <c r="C44" s="176"/>
      <c r="D44" s="146" t="s">
        <v>230</v>
      </c>
      <c r="E44" s="135"/>
      <c r="F44" s="178">
        <f>B.1!E50</f>
        <v>2309720</v>
      </c>
      <c r="G44" s="623">
        <f>ROUND($F$44/$F$45,4)</f>
        <v>3.8699999999999998E-2</v>
      </c>
      <c r="H44" s="812">
        <v>4.4600000000000001E-2</v>
      </c>
      <c r="I44" s="624">
        <f>ROUND(G44*H44,4)</f>
        <v>1.6999999999999999E-3</v>
      </c>
      <c r="J44" s="154"/>
      <c r="L44" s="135"/>
    </row>
    <row r="45" spans="1:13" s="133" customFormat="1" ht="15" thickBot="1">
      <c r="A45" s="172" t="s">
        <v>278</v>
      </c>
      <c r="B45" s="154" t="s">
        <v>245</v>
      </c>
      <c r="C45" s="176"/>
      <c r="D45" s="135"/>
      <c r="E45" s="135"/>
      <c r="F45" s="141">
        <f>SUM(F40:F44)</f>
        <v>59616177</v>
      </c>
      <c r="G45" s="713">
        <f>SUM(G40:G44)</f>
        <v>0.9998999999999999</v>
      </c>
      <c r="H45" s="813"/>
      <c r="I45" s="185">
        <f>SUM(I40:I44)</f>
        <v>4.4500000000000005E-2</v>
      </c>
      <c r="J45" s="154"/>
      <c r="L45" s="135"/>
    </row>
    <row r="46" spans="1:13" s="133" customFormat="1" ht="15" thickTop="1">
      <c r="A46" s="172" t="s">
        <v>277</v>
      </c>
      <c r="B46" s="154"/>
      <c r="C46" s="176"/>
      <c r="D46" s="135"/>
      <c r="E46" s="135"/>
      <c r="F46" s="141"/>
      <c r="G46" s="184"/>
      <c r="H46" s="813"/>
      <c r="I46" s="183"/>
      <c r="L46" s="135"/>
    </row>
    <row r="47" spans="1:13" s="133" customFormat="1">
      <c r="A47" s="172" t="s">
        <v>275</v>
      </c>
      <c r="B47" s="182" t="s">
        <v>276</v>
      </c>
      <c r="C47" s="181"/>
      <c r="D47" s="154"/>
      <c r="E47" s="135"/>
      <c r="F47" s="180"/>
      <c r="G47" s="180"/>
      <c r="H47" s="815"/>
      <c r="I47" s="180"/>
      <c r="L47" s="135"/>
    </row>
    <row r="48" spans="1:13" s="133" customFormat="1">
      <c r="A48" s="172" t="s">
        <v>274</v>
      </c>
      <c r="B48" s="154" t="s">
        <v>270</v>
      </c>
      <c r="C48" s="176"/>
      <c r="D48" s="175">
        <v>24</v>
      </c>
      <c r="E48" s="135"/>
      <c r="F48" s="155">
        <f>B.2!E21</f>
        <v>291500</v>
      </c>
      <c r="G48" s="184">
        <f>ROUND($F$48/$F$50,4)</f>
        <v>0.90669999999999995</v>
      </c>
      <c r="H48" s="1041">
        <v>1.67E-2</v>
      </c>
      <c r="I48" s="179">
        <f>G48*H48</f>
        <v>1.5141889999999998E-2</v>
      </c>
      <c r="L48" s="135"/>
    </row>
    <row r="49" spans="1:9" s="133" customFormat="1">
      <c r="A49" s="172" t="s">
        <v>273</v>
      </c>
      <c r="B49" s="154" t="s">
        <v>268</v>
      </c>
      <c r="C49" s="176"/>
      <c r="D49" s="175">
        <v>24</v>
      </c>
      <c r="E49" s="135"/>
      <c r="F49" s="178">
        <f>+B.2!E27</f>
        <v>30000</v>
      </c>
      <c r="G49" s="623">
        <f>ROUND($F$49/$F$50,4)</f>
        <v>9.3299999999999994E-2</v>
      </c>
      <c r="H49" s="1042">
        <v>8.6999999999999994E-3</v>
      </c>
      <c r="I49" s="177">
        <f>G49*H49</f>
        <v>8.1170999999999988E-4</v>
      </c>
    </row>
    <row r="50" spans="1:9" s="133" customFormat="1" ht="15" thickBot="1">
      <c r="A50" s="172" t="s">
        <v>174</v>
      </c>
      <c r="B50" s="154" t="s">
        <v>245</v>
      </c>
      <c r="C50" s="176"/>
      <c r="D50" s="175"/>
      <c r="E50" s="135"/>
      <c r="F50" s="141">
        <f>SUM(F48:F49)</f>
        <v>321500</v>
      </c>
      <c r="G50" s="174">
        <f>SUM(G48:G49)</f>
        <v>1</v>
      </c>
      <c r="H50" s="135"/>
      <c r="I50" s="173">
        <f>I48+I49</f>
        <v>1.5953599999999998E-2</v>
      </c>
    </row>
    <row r="51" spans="1:9" ht="15" thickTop="1">
      <c r="A51" s="172" t="s">
        <v>853</v>
      </c>
      <c r="B51" s="133"/>
      <c r="C51" s="133"/>
      <c r="D51" s="133"/>
      <c r="E51" s="133"/>
      <c r="F51" s="133"/>
      <c r="G51" s="133"/>
      <c r="H51" s="133"/>
      <c r="I51" s="133"/>
    </row>
    <row r="52" spans="1:9">
      <c r="B52" s="133"/>
      <c r="C52" s="133"/>
      <c r="D52" s="133"/>
      <c r="E52" s="133"/>
      <c r="F52" s="133"/>
      <c r="G52" s="133"/>
      <c r="H52" s="133"/>
      <c r="I52" s="133"/>
    </row>
    <row r="53" spans="1:9">
      <c r="B53" s="133"/>
      <c r="C53" s="133"/>
      <c r="D53" s="133"/>
      <c r="E53" s="133"/>
      <c r="F53" s="133"/>
      <c r="G53" s="133"/>
      <c r="H53" s="133"/>
      <c r="I53" s="133"/>
    </row>
    <row r="54" spans="1:9">
      <c r="A54" s="171"/>
      <c r="B54" s="133"/>
      <c r="C54" s="133"/>
      <c r="D54" s="133"/>
      <c r="E54" s="133"/>
      <c r="F54" s="133"/>
      <c r="G54" s="133"/>
      <c r="H54" s="133"/>
      <c r="I54" s="133"/>
    </row>
    <row r="55" spans="1:9">
      <c r="A55" s="171"/>
      <c r="B55" s="133"/>
      <c r="C55" s="133"/>
      <c r="D55" s="133"/>
      <c r="E55" s="133"/>
      <c r="F55" s="133"/>
      <c r="G55" s="133"/>
      <c r="H55" s="133"/>
      <c r="I55" s="133"/>
    </row>
    <row r="56" spans="1:9">
      <c r="A56" s="171"/>
      <c r="B56" s="133"/>
      <c r="C56" s="133"/>
      <c r="D56" s="133"/>
      <c r="E56" s="133"/>
      <c r="F56" s="133"/>
      <c r="G56" s="133"/>
      <c r="H56" s="133"/>
      <c r="I56" s="133"/>
    </row>
    <row r="57" spans="1:9">
      <c r="A57" s="171"/>
    </row>
  </sheetData>
  <printOptions horizontalCentered="1"/>
  <pageMargins left="0.5" right="0.5" top="0.5" bottom="0.25" header="0.5" footer="0.5"/>
  <pageSetup scale="83" orientation="portrait" r:id="rId1"/>
  <headerFooter alignWithMargins="0"/>
  <customProperties>
    <customPr name="_pios_id" r:id="rId2"/>
  </customPropertie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sheetPr>
  <dimension ref="A1:N53"/>
  <sheetViews>
    <sheetView zoomScale="115" zoomScaleNormal="115" workbookViewId="0">
      <selection activeCell="J27" sqref="J27"/>
    </sheetView>
  </sheetViews>
  <sheetFormatPr defaultColWidth="9.85546875" defaultRowHeight="14.25"/>
  <cols>
    <col min="1" max="1" width="5.85546875" style="170" customWidth="1"/>
    <col min="2" max="2" width="22.85546875" style="170" customWidth="1"/>
    <col min="3" max="3" width="9.85546875" style="170"/>
    <col min="4" max="4" width="4.85546875" style="170" customWidth="1"/>
    <col min="5" max="5" width="10.5703125" style="170" customWidth="1"/>
    <col min="6" max="6" width="8.7109375" style="170" bestFit="1" customWidth="1"/>
    <col min="7" max="7" width="6.140625" style="170" customWidth="1"/>
    <col min="8" max="8" width="12.42578125" style="170" customWidth="1"/>
    <col min="9" max="9" width="9.85546875" style="170"/>
    <col min="10" max="10" width="14" style="170" customWidth="1"/>
    <col min="11" max="11" width="9.85546875" style="170"/>
    <col min="12" max="12" width="11" style="170" bestFit="1" customWidth="1"/>
    <col min="13" max="13" width="9.85546875" style="170"/>
    <col min="14" max="14" width="11" style="170" bestFit="1" customWidth="1"/>
    <col min="15" max="16384" width="9.85546875" style="170"/>
  </cols>
  <sheetData>
    <row r="1" spans="1:10" ht="15">
      <c r="A1" s="213" t="s">
        <v>51</v>
      </c>
      <c r="B1" s="211"/>
      <c r="C1" s="211"/>
      <c r="D1" s="211"/>
      <c r="E1" s="211"/>
      <c r="F1" s="211"/>
      <c r="G1" s="211"/>
      <c r="H1" s="211"/>
      <c r="I1" s="192"/>
      <c r="J1" s="187" t="s">
        <v>256</v>
      </c>
    </row>
    <row r="2" spans="1:10">
      <c r="A2" s="211" t="str">
        <f>B.1!A2</f>
        <v>Expected Gas Cost (EGC) Calculation</v>
      </c>
      <c r="B2" s="211"/>
      <c r="C2" s="211"/>
      <c r="D2" s="211"/>
      <c r="E2" s="211"/>
      <c r="F2" s="211"/>
      <c r="G2" s="211"/>
      <c r="H2" s="211"/>
      <c r="I2" s="192"/>
      <c r="J2" s="187" t="s">
        <v>351</v>
      </c>
    </row>
    <row r="3" spans="1:10">
      <c r="A3" s="212" t="s">
        <v>350</v>
      </c>
      <c r="B3" s="211"/>
      <c r="C3" s="211"/>
      <c r="D3" s="211"/>
      <c r="E3" s="211"/>
      <c r="F3" s="211"/>
      <c r="G3" s="211"/>
      <c r="H3" s="211"/>
      <c r="I3" s="192"/>
      <c r="J3" s="187"/>
    </row>
    <row r="4" spans="1:10">
      <c r="A4" s="187"/>
      <c r="B4" s="187"/>
      <c r="C4" s="187"/>
      <c r="D4" s="187"/>
      <c r="E4" s="187"/>
      <c r="F4" s="187"/>
      <c r="G4" s="187"/>
      <c r="H4" s="187"/>
      <c r="I4" s="210"/>
      <c r="J4" s="187"/>
    </row>
    <row r="5" spans="1:10">
      <c r="A5" s="209"/>
      <c r="B5" s="187"/>
      <c r="C5" s="187"/>
      <c r="D5" s="187"/>
      <c r="E5" s="193" t="s">
        <v>46</v>
      </c>
      <c r="F5" s="193" t="s">
        <v>45</v>
      </c>
      <c r="G5" s="193" t="s">
        <v>44</v>
      </c>
      <c r="H5" s="193" t="s">
        <v>252</v>
      </c>
      <c r="I5" s="193" t="s">
        <v>251</v>
      </c>
      <c r="J5" s="171" t="s">
        <v>335</v>
      </c>
    </row>
    <row r="6" spans="1:10" ht="15">
      <c r="A6" s="203"/>
      <c r="B6" s="203"/>
      <c r="C6" s="203"/>
      <c r="D6" s="203"/>
      <c r="E6" s="203"/>
      <c r="F6" s="203"/>
      <c r="G6" s="203"/>
      <c r="H6" s="203"/>
      <c r="I6" s="203"/>
      <c r="J6" s="203"/>
    </row>
    <row r="7" spans="1:10" ht="15">
      <c r="A7" s="208" t="s">
        <v>43</v>
      </c>
      <c r="B7" s="203"/>
      <c r="C7" s="203"/>
      <c r="D7" s="203"/>
      <c r="E7" s="208" t="s">
        <v>0</v>
      </c>
      <c r="F7" s="203"/>
      <c r="G7" s="207"/>
      <c r="H7" s="207"/>
      <c r="I7" s="203"/>
      <c r="J7" s="203"/>
    </row>
    <row r="8" spans="1:10" ht="15">
      <c r="A8" s="204" t="s">
        <v>42</v>
      </c>
      <c r="B8" s="206" t="s">
        <v>41</v>
      </c>
      <c r="C8" s="206"/>
      <c r="D8" s="206"/>
      <c r="E8" s="204" t="s">
        <v>248</v>
      </c>
      <c r="F8" s="206"/>
      <c r="G8" s="205" t="s">
        <v>334</v>
      </c>
      <c r="H8" s="205"/>
      <c r="I8" s="204" t="s">
        <v>246</v>
      </c>
      <c r="J8" s="204" t="s">
        <v>245</v>
      </c>
    </row>
    <row r="9" spans="1:10" ht="15">
      <c r="A9" s="187"/>
      <c r="B9" s="203"/>
      <c r="C9" s="187"/>
      <c r="D9" s="187"/>
      <c r="E9" s="135"/>
      <c r="F9" s="135"/>
      <c r="G9" s="159" t="s">
        <v>22</v>
      </c>
      <c r="H9" s="159" t="s">
        <v>244</v>
      </c>
      <c r="I9" s="159" t="s">
        <v>243</v>
      </c>
      <c r="J9" s="159" t="s">
        <v>242</v>
      </c>
    </row>
    <row r="10" spans="1:10" ht="15">
      <c r="A10" s="187"/>
      <c r="B10" s="202"/>
      <c r="C10" s="187"/>
      <c r="D10" s="187"/>
      <c r="E10" s="135"/>
      <c r="F10" s="135"/>
      <c r="G10" s="135"/>
      <c r="H10" s="201"/>
      <c r="I10" s="201"/>
      <c r="J10" s="135"/>
    </row>
    <row r="11" spans="1:10">
      <c r="A11" s="187">
        <v>1</v>
      </c>
      <c r="B11" s="197" t="s">
        <v>349</v>
      </c>
      <c r="C11" s="187"/>
      <c r="D11" s="187"/>
      <c r="E11" s="141"/>
      <c r="F11" s="135"/>
      <c r="G11" s="141"/>
      <c r="H11" s="811">
        <v>735400.55</v>
      </c>
      <c r="I11" s="157"/>
      <c r="J11" s="135"/>
    </row>
    <row r="12" spans="1:10">
      <c r="A12" s="187">
        <v>2</v>
      </c>
      <c r="B12" s="187" t="s">
        <v>324</v>
      </c>
      <c r="C12" s="187"/>
      <c r="D12" s="187"/>
      <c r="E12" s="135"/>
      <c r="F12" s="135"/>
      <c r="G12" s="135"/>
      <c r="H12" s="135"/>
      <c r="I12" s="140">
        <f>C.1!$B$35</f>
        <v>2.9079999999999999</v>
      </c>
      <c r="J12" s="141">
        <f>ROUND($H$11*I12,0)</f>
        <v>2138545</v>
      </c>
    </row>
    <row r="13" spans="1:10">
      <c r="A13" s="187">
        <v>3</v>
      </c>
      <c r="B13" s="187" t="s">
        <v>348</v>
      </c>
      <c r="C13" s="187"/>
      <c r="D13" s="187"/>
      <c r="E13" s="135"/>
      <c r="F13" s="135"/>
      <c r="G13" s="135"/>
      <c r="H13" s="135"/>
      <c r="I13" s="140">
        <f>B.3!I50</f>
        <v>1.5953599999999998E-2</v>
      </c>
      <c r="J13" s="141">
        <f>ROUND($H$11*I13,0)</f>
        <v>11732</v>
      </c>
    </row>
    <row r="14" spans="1:10">
      <c r="A14" s="187">
        <v>4</v>
      </c>
      <c r="B14" s="187" t="s">
        <v>320</v>
      </c>
      <c r="C14" s="187"/>
      <c r="D14" s="187"/>
      <c r="E14" s="159">
        <v>24</v>
      </c>
      <c r="F14" s="135"/>
      <c r="G14" s="135"/>
      <c r="H14" s="135"/>
      <c r="I14" s="1038">
        <v>1.4E-3</v>
      </c>
      <c r="J14" s="141">
        <f>ROUND($H$11*I14,0)</f>
        <v>1030</v>
      </c>
    </row>
    <row r="15" spans="1:10">
      <c r="A15" s="187">
        <v>5</v>
      </c>
      <c r="B15" s="187" t="s">
        <v>340</v>
      </c>
      <c r="C15" s="187"/>
      <c r="D15" s="187"/>
      <c r="E15" s="159">
        <v>32</v>
      </c>
      <c r="F15" s="1039">
        <v>1.26E-2</v>
      </c>
      <c r="G15" s="135"/>
      <c r="H15" s="135"/>
      <c r="I15" s="198">
        <f>ROUND(I12/(1-F15)-I12,4)</f>
        <v>3.7100000000000001E-2</v>
      </c>
      <c r="J15" s="178">
        <f>ROUND($H$11*I15,0)</f>
        <v>27283</v>
      </c>
    </row>
    <row r="16" spans="1:10">
      <c r="A16" s="187">
        <v>6</v>
      </c>
      <c r="B16" s="187"/>
      <c r="C16" s="187"/>
      <c r="D16" s="187"/>
      <c r="E16" s="135"/>
      <c r="F16" s="135"/>
      <c r="G16" s="135"/>
      <c r="H16" s="135"/>
      <c r="I16" s="140">
        <f>SUM(I12:I15)</f>
        <v>2.9624535999999999</v>
      </c>
      <c r="J16" s="141">
        <f>SUM(J12:J15)</f>
        <v>2178590</v>
      </c>
    </row>
    <row r="17" spans="1:14">
      <c r="A17" s="187">
        <v>7</v>
      </c>
      <c r="B17" s="187"/>
      <c r="C17" s="187"/>
      <c r="D17" s="187"/>
      <c r="E17" s="135"/>
      <c r="F17" s="135"/>
      <c r="G17" s="135"/>
      <c r="H17" s="135"/>
      <c r="I17" s="140"/>
      <c r="J17" s="135"/>
    </row>
    <row r="18" spans="1:14">
      <c r="A18" s="187">
        <v>8</v>
      </c>
      <c r="B18" s="197" t="s">
        <v>347</v>
      </c>
      <c r="C18" s="187"/>
      <c r="D18" s="187"/>
      <c r="E18" s="135"/>
      <c r="F18" s="135"/>
      <c r="G18" s="141"/>
      <c r="H18" s="811">
        <v>0</v>
      </c>
      <c r="I18" s="140"/>
      <c r="J18" s="135"/>
    </row>
    <row r="19" spans="1:14">
      <c r="A19" s="187">
        <v>9</v>
      </c>
      <c r="B19" s="187" t="s">
        <v>324</v>
      </c>
      <c r="C19" s="187"/>
      <c r="D19" s="187"/>
      <c r="E19" s="135"/>
      <c r="F19" s="135"/>
      <c r="G19" s="135"/>
      <c r="H19" s="135"/>
      <c r="I19" s="140">
        <f>I12</f>
        <v>2.9079999999999999</v>
      </c>
      <c r="J19" s="141">
        <f>ROUND($H$18*I19,0)</f>
        <v>0</v>
      </c>
    </row>
    <row r="20" spans="1:14">
      <c r="A20" s="187">
        <v>10</v>
      </c>
      <c r="B20" s="187" t="s">
        <v>346</v>
      </c>
      <c r="C20" s="187"/>
      <c r="D20" s="187"/>
      <c r="E20" s="159">
        <v>26</v>
      </c>
      <c r="F20" s="135"/>
      <c r="G20" s="135"/>
      <c r="H20" s="135"/>
      <c r="I20" s="1038">
        <v>0.89759999999999995</v>
      </c>
      <c r="J20" s="141">
        <f>ROUND($H$18*I20,0)</f>
        <v>0</v>
      </c>
    </row>
    <row r="21" spans="1:14">
      <c r="A21" s="187">
        <v>11</v>
      </c>
      <c r="B21" s="187" t="s">
        <v>320</v>
      </c>
      <c r="C21" s="187"/>
      <c r="D21" s="187"/>
      <c r="E21" s="217">
        <v>24</v>
      </c>
      <c r="F21" s="135"/>
      <c r="G21" s="135"/>
      <c r="H21" s="135"/>
      <c r="I21" s="140">
        <f>I14</f>
        <v>1.4E-3</v>
      </c>
      <c r="J21" s="141">
        <f>ROUND($H$18*I21,0)</f>
        <v>0</v>
      </c>
    </row>
    <row r="22" spans="1:14">
      <c r="A22" s="187">
        <v>12</v>
      </c>
      <c r="B22" s="187" t="s">
        <v>340</v>
      </c>
      <c r="C22" s="187"/>
      <c r="D22" s="187"/>
      <c r="E22" s="159">
        <v>32</v>
      </c>
      <c r="F22" s="184">
        <f>F15</f>
        <v>1.26E-2</v>
      </c>
      <c r="G22" s="135"/>
      <c r="H22" s="135"/>
      <c r="I22" s="198">
        <f>ROUND(I19/(1-F22)-I19,4)</f>
        <v>3.7100000000000001E-2</v>
      </c>
      <c r="J22" s="178">
        <f>ROUND($H$18*I22,0)</f>
        <v>0</v>
      </c>
    </row>
    <row r="23" spans="1:14">
      <c r="A23" s="187">
        <v>13</v>
      </c>
      <c r="B23" s="187"/>
      <c r="C23" s="187"/>
      <c r="D23" s="187"/>
      <c r="E23" s="135"/>
      <c r="F23" s="135"/>
      <c r="G23" s="135"/>
      <c r="H23" s="135"/>
      <c r="I23" s="140">
        <f>SUM(I19:I22)</f>
        <v>3.8441000000000001</v>
      </c>
      <c r="J23" s="141">
        <f>SUM(J19:J22)</f>
        <v>0</v>
      </c>
    </row>
    <row r="24" spans="1:14">
      <c r="A24" s="187">
        <v>14</v>
      </c>
      <c r="B24" s="187"/>
      <c r="C24" s="187"/>
      <c r="D24" s="187"/>
      <c r="E24" s="135"/>
      <c r="F24" s="135"/>
      <c r="G24" s="135"/>
      <c r="H24" s="135"/>
      <c r="I24" s="140"/>
      <c r="J24" s="135"/>
    </row>
    <row r="25" spans="1:14">
      <c r="A25" s="187">
        <v>15</v>
      </c>
      <c r="B25" s="197" t="s">
        <v>265</v>
      </c>
      <c r="C25" s="187"/>
      <c r="D25" s="187"/>
      <c r="E25" s="135"/>
      <c r="F25" s="135"/>
      <c r="G25" s="135"/>
      <c r="H25" s="135"/>
      <c r="I25" s="140"/>
      <c r="J25" s="135"/>
    </row>
    <row r="26" spans="1:14">
      <c r="A26" s="187">
        <v>16</v>
      </c>
      <c r="B26" s="187" t="s">
        <v>345</v>
      </c>
      <c r="C26" s="187"/>
      <c r="D26" s="187"/>
      <c r="E26" s="135"/>
      <c r="F26" s="135"/>
      <c r="G26" s="135"/>
      <c r="H26" s="811">
        <v>0</v>
      </c>
      <c r="I26" s="140">
        <f>Storage!D24</f>
        <v>3.1680000000000001</v>
      </c>
      <c r="J26" s="200">
        <f>H26*I26</f>
        <v>0</v>
      </c>
    </row>
    <row r="27" spans="1:14">
      <c r="A27" s="187">
        <v>17</v>
      </c>
      <c r="B27" s="187" t="s">
        <v>344</v>
      </c>
      <c r="C27" s="187"/>
      <c r="D27" s="187"/>
      <c r="E27" s="135"/>
      <c r="F27" s="135"/>
      <c r="G27" s="135"/>
      <c r="H27" s="811">
        <v>-510678.34</v>
      </c>
      <c r="I27" s="140">
        <f>C.1!$B$35</f>
        <v>2.9079999999999999</v>
      </c>
      <c r="J27" s="141">
        <f>H27*I27</f>
        <v>-1485052.6127200001</v>
      </c>
      <c r="K27" s="170" t="s">
        <v>341</v>
      </c>
    </row>
    <row r="28" spans="1:14">
      <c r="A28" s="187">
        <v>18</v>
      </c>
      <c r="B28" s="211" t="s">
        <v>343</v>
      </c>
      <c r="C28" s="187"/>
      <c r="D28" s="187"/>
      <c r="E28" s="159">
        <v>61</v>
      </c>
      <c r="F28" s="135"/>
      <c r="G28" s="135"/>
      <c r="H28" s="135"/>
      <c r="I28" s="1038">
        <v>8.6999999999999994E-3</v>
      </c>
      <c r="J28" s="141">
        <f>ROUND(H26*I28,0)</f>
        <v>0</v>
      </c>
      <c r="L28" s="216"/>
    </row>
    <row r="29" spans="1:14">
      <c r="A29" s="187">
        <v>19</v>
      </c>
      <c r="B29" s="187" t="s">
        <v>342</v>
      </c>
      <c r="C29" s="187"/>
      <c r="D29" s="187"/>
      <c r="E29" s="159">
        <v>61</v>
      </c>
      <c r="F29" s="135"/>
      <c r="G29" s="135"/>
      <c r="H29" s="135"/>
      <c r="I29" s="1038">
        <v>8.6999999999999994E-3</v>
      </c>
      <c r="J29" s="141">
        <f>ROUND($H$27*I29,0)</f>
        <v>-4443</v>
      </c>
      <c r="K29" s="170" t="s">
        <v>341</v>
      </c>
    </row>
    <row r="30" spans="1:14">
      <c r="A30" s="187">
        <v>20</v>
      </c>
      <c r="B30" s="187" t="s">
        <v>340</v>
      </c>
      <c r="C30" s="187"/>
      <c r="D30" s="187"/>
      <c r="E30" s="159">
        <v>61</v>
      </c>
      <c r="F30" s="1039">
        <v>8.0000000000000004E-4</v>
      </c>
      <c r="G30" s="135"/>
      <c r="H30" s="249"/>
      <c r="I30" s="198">
        <f>ROUND(I29/(1-F30)-I29,4)</f>
        <v>0</v>
      </c>
      <c r="J30" s="168">
        <f>ROUND(SUM($H$26:$H$27)*I30,0)</f>
        <v>0</v>
      </c>
    </row>
    <row r="31" spans="1:14">
      <c r="A31" s="187">
        <v>21</v>
      </c>
      <c r="B31" s="187" t="s">
        <v>339</v>
      </c>
      <c r="C31" s="187"/>
      <c r="D31" s="187"/>
      <c r="E31" s="159"/>
      <c r="F31" s="135"/>
      <c r="G31" s="135"/>
      <c r="H31" s="141">
        <f>H26+H27</f>
        <v>-510678.34</v>
      </c>
      <c r="I31" s="140">
        <f>J31/H31</f>
        <v>2.9167001927671339</v>
      </c>
      <c r="J31" s="141">
        <f>SUM(J26:J30)</f>
        <v>-1489495.6127200001</v>
      </c>
      <c r="L31" s="195"/>
      <c r="N31" s="195"/>
    </row>
    <row r="32" spans="1:14">
      <c r="A32" s="187">
        <v>22</v>
      </c>
      <c r="B32" s="187"/>
      <c r="C32" s="187"/>
      <c r="D32" s="187"/>
      <c r="E32" s="159"/>
      <c r="F32" s="135"/>
      <c r="G32" s="135"/>
      <c r="H32" s="135"/>
      <c r="I32" s="140"/>
      <c r="J32" s="135"/>
      <c r="L32" s="195"/>
      <c r="N32" s="195"/>
    </row>
    <row r="33" spans="1:10" s="133" customFormat="1">
      <c r="A33" s="187">
        <v>23</v>
      </c>
      <c r="B33" s="135"/>
      <c r="C33" s="135"/>
      <c r="D33" s="135"/>
      <c r="E33" s="154"/>
      <c r="F33" s="154"/>
      <c r="G33" s="154"/>
      <c r="H33" s="154"/>
      <c r="I33" s="215"/>
      <c r="J33" s="154"/>
    </row>
    <row r="34" spans="1:10" s="133" customFormat="1">
      <c r="A34" s="187">
        <v>24</v>
      </c>
      <c r="B34" s="135"/>
      <c r="C34" s="135"/>
      <c r="D34" s="135"/>
      <c r="E34" s="154"/>
      <c r="F34" s="154"/>
      <c r="G34" s="154"/>
      <c r="H34" s="154"/>
      <c r="I34" s="215"/>
      <c r="J34" s="154"/>
    </row>
    <row r="35" spans="1:10" s="133" customFormat="1" ht="15" thickBot="1">
      <c r="A35" s="187">
        <v>25</v>
      </c>
      <c r="B35" s="135" t="s">
        <v>338</v>
      </c>
      <c r="C35" s="135"/>
      <c r="D35" s="135"/>
      <c r="E35" s="135"/>
      <c r="F35" s="135"/>
      <c r="G35" s="135"/>
      <c r="H35" s="138">
        <f>SUM(H11:H30)</f>
        <v>224722.21000000002</v>
      </c>
      <c r="I35" s="214">
        <f>ROUND(J35/H35,4)</f>
        <v>3.0663999999999998</v>
      </c>
      <c r="J35" s="138">
        <f>J16+J23+J31</f>
        <v>689094.38727999991</v>
      </c>
    </row>
    <row r="36" spans="1:10" s="133" customFormat="1" ht="15" thickTop="1">
      <c r="A36" s="187"/>
      <c r="G36" s="153"/>
    </row>
    <row r="37" spans="1:10" s="133" customFormat="1">
      <c r="A37" s="187"/>
      <c r="H37" s="145"/>
      <c r="J37" s="145"/>
    </row>
    <row r="38" spans="1:10" s="133" customFormat="1">
      <c r="A38" s="135"/>
    </row>
    <row r="39" spans="1:10" s="133" customFormat="1">
      <c r="A39" s="135"/>
      <c r="F39" s="153"/>
      <c r="G39" s="153"/>
    </row>
    <row r="40" spans="1:10" s="133" customFormat="1">
      <c r="A40" s="135"/>
      <c r="F40" s="153"/>
      <c r="G40" s="153"/>
      <c r="H40" s="153"/>
    </row>
    <row r="41" spans="1:10" s="133" customFormat="1">
      <c r="A41" s="135"/>
    </row>
    <row r="42" spans="1:10" s="133" customFormat="1">
      <c r="A42" s="135"/>
    </row>
    <row r="43" spans="1:10">
      <c r="A43" s="187"/>
    </row>
    <row r="44" spans="1:10">
      <c r="A44" s="187"/>
    </row>
    <row r="45" spans="1:10">
      <c r="A45" s="187"/>
    </row>
    <row r="46" spans="1:10">
      <c r="A46" s="187"/>
    </row>
    <row r="47" spans="1:10">
      <c r="A47" s="187"/>
    </row>
    <row r="48" spans="1:10">
      <c r="A48" s="187"/>
    </row>
    <row r="49" spans="1:1">
      <c r="A49" s="187"/>
    </row>
    <row r="50" spans="1:1">
      <c r="A50" s="187"/>
    </row>
    <row r="51" spans="1:1">
      <c r="A51" s="187"/>
    </row>
    <row r="52" spans="1:1">
      <c r="A52" s="187"/>
    </row>
    <row r="53" spans="1:1">
      <c r="A53" s="187"/>
    </row>
  </sheetData>
  <printOptions horizontalCentered="1"/>
  <pageMargins left="0.5" right="0.5" top="0.5" bottom="0.25" header="0.5" footer="0.5"/>
  <pageSetup scale="90" orientation="portrait" r:id="rId1"/>
  <headerFooter alignWithMargins="0"/>
  <customProperties>
    <customPr name="_pios_id" r:id="rId2"/>
  </customProperties>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N71"/>
  <sheetViews>
    <sheetView zoomScale="80" zoomScaleNormal="80" workbookViewId="0">
      <pane xSplit="4" ySplit="8" topLeftCell="E9" activePane="bottomRight" state="frozen"/>
      <selection activeCell="E33" sqref="E33"/>
      <selection pane="topRight" activeCell="E33" sqref="E33"/>
      <selection pane="bottomLeft" activeCell="E33" sqref="E33"/>
      <selection pane="bottomRight" activeCell="J17" sqref="J17"/>
    </sheetView>
  </sheetViews>
  <sheetFormatPr defaultColWidth="9.28515625" defaultRowHeight="14.25"/>
  <cols>
    <col min="1" max="3" width="9.28515625" style="133" customWidth="1"/>
    <col min="4" max="4" width="9.85546875" style="133" customWidth="1"/>
    <col min="5" max="5" width="10.7109375" style="133" customWidth="1"/>
    <col min="6" max="6" width="9.140625" style="133" customWidth="1"/>
    <col min="7" max="7" width="9.28515625" style="133" customWidth="1"/>
    <col min="8" max="8" width="10" style="133" bestFit="1" customWidth="1"/>
    <col min="9" max="9" width="10.7109375" style="133" bestFit="1" customWidth="1"/>
    <col min="10" max="10" width="14.42578125" style="133" customWidth="1"/>
    <col min="11" max="16384" width="9.28515625" style="133"/>
  </cols>
  <sheetData>
    <row r="1" spans="1:12" ht="15">
      <c r="A1" s="167" t="s">
        <v>51</v>
      </c>
      <c r="B1" s="150"/>
      <c r="C1" s="150"/>
      <c r="D1" s="150"/>
      <c r="E1" s="150"/>
      <c r="F1" s="150"/>
      <c r="G1" s="150"/>
      <c r="H1" s="150"/>
      <c r="I1" s="231"/>
      <c r="J1" s="135" t="s">
        <v>256</v>
      </c>
      <c r="L1" s="221"/>
    </row>
    <row r="2" spans="1:12">
      <c r="A2" s="150" t="s">
        <v>255</v>
      </c>
      <c r="B2" s="150"/>
      <c r="C2" s="150"/>
      <c r="D2" s="150"/>
      <c r="E2" s="150"/>
      <c r="F2" s="150"/>
      <c r="G2" s="150"/>
      <c r="H2" s="150"/>
      <c r="I2" s="231"/>
      <c r="J2" s="135" t="s">
        <v>361</v>
      </c>
    </row>
    <row r="3" spans="1:12">
      <c r="A3" s="166" t="s">
        <v>360</v>
      </c>
      <c r="B3" s="150"/>
      <c r="C3" s="150"/>
      <c r="D3" s="150"/>
      <c r="E3" s="150"/>
      <c r="F3" s="150"/>
      <c r="G3" s="150"/>
      <c r="H3" s="150"/>
      <c r="I3" s="231"/>
      <c r="J3" s="135"/>
    </row>
    <row r="4" spans="1:12">
      <c r="A4" s="135"/>
      <c r="B4" s="135"/>
      <c r="C4" s="135"/>
      <c r="D4" s="135"/>
      <c r="E4" s="135"/>
      <c r="F4" s="135"/>
      <c r="G4" s="135"/>
      <c r="H4" s="135"/>
      <c r="I4" s="165"/>
      <c r="J4" s="135"/>
    </row>
    <row r="5" spans="1:12">
      <c r="A5" s="135" t="s">
        <v>32</v>
      </c>
      <c r="B5" s="135"/>
      <c r="C5" s="135"/>
      <c r="D5" s="135"/>
      <c r="E5" s="159" t="s">
        <v>46</v>
      </c>
      <c r="F5" s="159" t="s">
        <v>45</v>
      </c>
      <c r="G5" s="159" t="s">
        <v>44</v>
      </c>
      <c r="H5" s="159" t="s">
        <v>252</v>
      </c>
      <c r="I5" s="159" t="s">
        <v>251</v>
      </c>
      <c r="J5" s="230" t="s">
        <v>335</v>
      </c>
    </row>
    <row r="6" spans="1:12" ht="15">
      <c r="A6" s="160"/>
      <c r="B6" s="160"/>
      <c r="C6" s="160"/>
      <c r="D6" s="160"/>
      <c r="E6" s="160"/>
      <c r="F6" s="160"/>
      <c r="G6" s="160"/>
      <c r="H6" s="160"/>
      <c r="I6" s="160"/>
      <c r="J6" s="160"/>
    </row>
    <row r="7" spans="1:12" ht="15">
      <c r="A7" s="163" t="s">
        <v>43</v>
      </c>
      <c r="B7" s="160"/>
      <c r="C7" s="160"/>
      <c r="D7" s="160"/>
      <c r="E7" s="163" t="s">
        <v>0</v>
      </c>
      <c r="F7" s="163"/>
      <c r="G7" s="229"/>
      <c r="H7" s="229"/>
      <c r="I7" s="160"/>
      <c r="J7" s="160"/>
    </row>
    <row r="8" spans="1:12" ht="15">
      <c r="A8" s="162" t="s">
        <v>42</v>
      </c>
      <c r="B8" s="161" t="s">
        <v>41</v>
      </c>
      <c r="C8" s="161"/>
      <c r="D8" s="161"/>
      <c r="E8" s="162" t="s">
        <v>248</v>
      </c>
      <c r="F8" s="162"/>
      <c r="G8" s="164" t="s">
        <v>334</v>
      </c>
      <c r="H8" s="164"/>
      <c r="I8" s="162" t="s">
        <v>246</v>
      </c>
      <c r="J8" s="162" t="s">
        <v>245</v>
      </c>
    </row>
    <row r="9" spans="1:12" ht="15">
      <c r="A9" s="135"/>
      <c r="B9" s="160"/>
      <c r="C9" s="135"/>
      <c r="D9" s="135"/>
      <c r="E9" s="135"/>
      <c r="F9" s="159"/>
      <c r="G9" s="159" t="s">
        <v>22</v>
      </c>
      <c r="H9" s="159" t="s">
        <v>244</v>
      </c>
      <c r="I9" s="159" t="s">
        <v>243</v>
      </c>
      <c r="J9" s="159" t="s">
        <v>242</v>
      </c>
    </row>
    <row r="10" spans="1:12" ht="15">
      <c r="A10" s="135"/>
      <c r="B10" s="160"/>
      <c r="C10" s="135"/>
      <c r="D10" s="135"/>
      <c r="E10" s="135"/>
      <c r="F10" s="135"/>
      <c r="G10" s="159"/>
      <c r="H10" s="159"/>
      <c r="I10" s="159"/>
      <c r="J10" s="159"/>
    </row>
    <row r="11" spans="1:12">
      <c r="A11" s="135">
        <v>1</v>
      </c>
      <c r="B11" s="228" t="s">
        <v>359</v>
      </c>
      <c r="C11" s="135"/>
      <c r="D11" s="135"/>
      <c r="E11" s="141"/>
      <c r="F11" s="135"/>
      <c r="G11" s="135"/>
      <c r="H11" s="201"/>
      <c r="I11" s="201"/>
      <c r="J11" s="135"/>
    </row>
    <row r="12" spans="1:12">
      <c r="A12" s="135">
        <v>2</v>
      </c>
      <c r="B12" s="135" t="s">
        <v>358</v>
      </c>
      <c r="C12" s="135"/>
      <c r="D12" s="135"/>
      <c r="E12" s="135"/>
      <c r="F12" s="135"/>
      <c r="G12" s="141"/>
      <c r="H12" s="811">
        <v>0</v>
      </c>
      <c r="I12" s="157"/>
      <c r="J12" s="135"/>
    </row>
    <row r="13" spans="1:12">
      <c r="A13" s="135">
        <v>3</v>
      </c>
      <c r="B13" s="135" t="s">
        <v>324</v>
      </c>
      <c r="C13" s="135"/>
      <c r="D13" s="135"/>
      <c r="E13" s="135"/>
      <c r="F13" s="135"/>
      <c r="G13" s="135"/>
      <c r="H13" s="135"/>
      <c r="I13" s="225">
        <f>C.1!$B$35</f>
        <v>2.9079999999999999</v>
      </c>
      <c r="J13" s="141">
        <f>ROUND($H$12*I13,0)</f>
        <v>0</v>
      </c>
      <c r="K13" s="135"/>
      <c r="L13" s="141"/>
    </row>
    <row r="14" spans="1:12">
      <c r="A14" s="135">
        <v>4</v>
      </c>
      <c r="B14" s="135" t="s">
        <v>357</v>
      </c>
      <c r="C14" s="135"/>
      <c r="D14" s="135"/>
      <c r="E14" s="159">
        <v>13</v>
      </c>
      <c r="F14" s="135"/>
      <c r="G14" s="135"/>
      <c r="H14" s="135"/>
      <c r="I14" s="1043">
        <v>5.1000000000000004E-3</v>
      </c>
      <c r="J14" s="141">
        <f>ROUND($H$12*I14,0)</f>
        <v>0</v>
      </c>
      <c r="K14" s="135"/>
      <c r="L14" s="141"/>
    </row>
    <row r="15" spans="1:12">
      <c r="A15" s="135">
        <v>5</v>
      </c>
      <c r="B15" s="135" t="s">
        <v>320</v>
      </c>
      <c r="E15" s="159">
        <v>13</v>
      </c>
      <c r="I15" s="1043">
        <v>1.4E-3</v>
      </c>
      <c r="J15" s="141">
        <f>ROUND($H$12*I15,0)</f>
        <v>0</v>
      </c>
      <c r="K15" s="135"/>
      <c r="L15" s="141"/>
    </row>
    <row r="16" spans="1:12">
      <c r="A16" s="135">
        <v>6</v>
      </c>
      <c r="B16" s="135" t="s">
        <v>340</v>
      </c>
      <c r="C16" s="135"/>
      <c r="D16" s="135"/>
      <c r="E16" s="159">
        <v>13</v>
      </c>
      <c r="F16" s="1044">
        <v>1.09E-2</v>
      </c>
      <c r="G16" s="135"/>
      <c r="H16" s="135"/>
      <c r="I16" s="215">
        <f>ROUND(I13/(1-(F16-0.001))-I13,4)</f>
        <v>2.9100000000000001E-2</v>
      </c>
      <c r="J16" s="155">
        <f>ROUND($H$12*I16,0)</f>
        <v>0</v>
      </c>
    </row>
    <row r="17" spans="1:14" ht="15" thickBot="1">
      <c r="A17" s="135">
        <v>7</v>
      </c>
      <c r="B17" s="135"/>
      <c r="C17" s="135"/>
      <c r="D17" s="135"/>
      <c r="E17" s="135"/>
      <c r="F17" s="135"/>
      <c r="G17" s="135"/>
      <c r="H17" s="135"/>
      <c r="I17" s="214">
        <f>SUM(I13:I16)</f>
        <v>2.9436</v>
      </c>
      <c r="J17" s="138">
        <f>SUM(J13:J16)</f>
        <v>0</v>
      </c>
    </row>
    <row r="18" spans="1:14" ht="15.75" thickTop="1">
      <c r="A18" s="135">
        <v>8</v>
      </c>
      <c r="B18" s="160"/>
      <c r="C18" s="135"/>
      <c r="D18" s="135"/>
      <c r="E18" s="135"/>
      <c r="F18" s="184"/>
      <c r="G18" s="159"/>
      <c r="H18" s="159"/>
      <c r="I18" s="159"/>
      <c r="J18" s="159"/>
    </row>
    <row r="19" spans="1:14" ht="15">
      <c r="A19" s="135">
        <v>9</v>
      </c>
      <c r="B19" s="160"/>
      <c r="C19" s="135"/>
      <c r="D19" s="135"/>
      <c r="E19" s="135"/>
      <c r="F19" s="184"/>
      <c r="G19" s="159"/>
      <c r="H19" s="159"/>
      <c r="I19" s="159"/>
      <c r="J19" s="159"/>
    </row>
    <row r="20" spans="1:14" ht="15">
      <c r="A20" s="135"/>
      <c r="B20" s="160"/>
      <c r="C20" s="135"/>
      <c r="D20" s="135"/>
      <c r="E20" s="135"/>
      <c r="F20" s="135"/>
      <c r="G20" s="159"/>
      <c r="H20" s="159"/>
      <c r="I20" s="159"/>
      <c r="J20" s="159"/>
    </row>
    <row r="21" spans="1:14">
      <c r="A21" s="135" t="s">
        <v>250</v>
      </c>
      <c r="B21" s="135"/>
      <c r="C21" s="135"/>
      <c r="D21" s="135"/>
      <c r="E21" s="135"/>
      <c r="F21" s="135"/>
      <c r="G21" s="159"/>
      <c r="H21" s="159"/>
      <c r="I21" s="159"/>
      <c r="J21" s="159"/>
    </row>
    <row r="22" spans="1:14" ht="15">
      <c r="A22" s="163"/>
      <c r="B22" s="160"/>
      <c r="C22" s="160"/>
      <c r="D22" s="160"/>
      <c r="E22" s="160"/>
      <c r="F22" s="160"/>
      <c r="G22" s="160"/>
      <c r="H22" s="160"/>
      <c r="I22" s="160"/>
      <c r="J22" s="160"/>
    </row>
    <row r="23" spans="1:14" ht="15">
      <c r="A23" s="160"/>
      <c r="B23" s="135"/>
      <c r="C23" s="135"/>
      <c r="D23" s="135"/>
      <c r="E23" s="159" t="s">
        <v>46</v>
      </c>
      <c r="F23" s="159" t="s">
        <v>45</v>
      </c>
      <c r="G23" s="159" t="s">
        <v>44</v>
      </c>
      <c r="H23" s="159" t="s">
        <v>252</v>
      </c>
      <c r="I23" s="159" t="s">
        <v>251</v>
      </c>
      <c r="K23" s="180"/>
    </row>
    <row r="24" spans="1:14" ht="15">
      <c r="A24" s="160"/>
      <c r="B24" s="160"/>
      <c r="C24" s="160"/>
      <c r="D24" s="160"/>
      <c r="E24" s="160"/>
      <c r="F24" s="160"/>
      <c r="G24" s="164" t="s">
        <v>250</v>
      </c>
      <c r="H24" s="164"/>
      <c r="I24" s="164"/>
      <c r="K24" s="227"/>
      <c r="L24" s="133" t="s">
        <v>356</v>
      </c>
    </row>
    <row r="25" spans="1:14" ht="15">
      <c r="A25" s="163" t="s">
        <v>43</v>
      </c>
      <c r="B25" s="160"/>
      <c r="C25" s="160"/>
      <c r="D25" s="163"/>
      <c r="E25" s="163" t="s">
        <v>0</v>
      </c>
      <c r="F25" s="163" t="s">
        <v>249</v>
      </c>
      <c r="G25" s="160"/>
      <c r="H25" s="160"/>
      <c r="I25" s="160"/>
      <c r="K25" s="226"/>
      <c r="L25" s="814">
        <f>5000*5</f>
        <v>25000</v>
      </c>
      <c r="M25" s="814">
        <v>5.3605</v>
      </c>
      <c r="N25" s="133">
        <f>L25*M25</f>
        <v>134012.5</v>
      </c>
    </row>
    <row r="26" spans="1:14" ht="15">
      <c r="A26" s="162" t="s">
        <v>42</v>
      </c>
      <c r="B26" s="161" t="s">
        <v>41</v>
      </c>
      <c r="C26" s="161"/>
      <c r="D26" s="162"/>
      <c r="E26" s="162" t="s">
        <v>248</v>
      </c>
      <c r="F26" s="162" t="s">
        <v>247</v>
      </c>
      <c r="G26" s="162" t="s">
        <v>246</v>
      </c>
      <c r="H26" s="162" t="s">
        <v>245</v>
      </c>
      <c r="I26" s="162" t="s">
        <v>31</v>
      </c>
      <c r="K26" s="226"/>
      <c r="L26" s="814">
        <f>1250*7</f>
        <v>8750</v>
      </c>
      <c r="M26" s="814">
        <v>5.4264000000000001</v>
      </c>
      <c r="N26" s="133">
        <f>L26*M26</f>
        <v>47481</v>
      </c>
    </row>
    <row r="27" spans="1:14" ht="15">
      <c r="A27" s="135"/>
      <c r="B27" s="160"/>
      <c r="C27" s="135"/>
      <c r="D27" s="135"/>
      <c r="E27" s="159"/>
      <c r="F27" s="159" t="s">
        <v>244</v>
      </c>
      <c r="G27" s="159" t="s">
        <v>243</v>
      </c>
      <c r="H27" s="159" t="s">
        <v>242</v>
      </c>
      <c r="I27" s="159" t="s">
        <v>242</v>
      </c>
      <c r="K27" s="180"/>
      <c r="L27" s="133">
        <f>SUM(L25:L26)</f>
        <v>33750</v>
      </c>
      <c r="M27" s="133">
        <f>ROUND(N27/L27,4)</f>
        <v>5.3776000000000002</v>
      </c>
      <c r="N27" s="133">
        <f>SUM(N25:N26)</f>
        <v>181493.5</v>
      </c>
    </row>
    <row r="28" spans="1:14" ht="15">
      <c r="A28" s="135"/>
      <c r="B28" s="160" t="s">
        <v>355</v>
      </c>
      <c r="C28" s="135"/>
      <c r="D28" s="135"/>
      <c r="E28" s="159"/>
      <c r="F28" s="159"/>
      <c r="G28" s="159"/>
      <c r="H28" s="159"/>
      <c r="I28" s="159"/>
      <c r="K28" s="180"/>
    </row>
    <row r="29" spans="1:14">
      <c r="A29" s="135">
        <v>10</v>
      </c>
      <c r="B29" s="135" t="s">
        <v>267</v>
      </c>
      <c r="C29" s="135"/>
      <c r="D29" s="148" t="s">
        <v>354</v>
      </c>
      <c r="E29" s="135"/>
      <c r="F29" s="224">
        <f>L27</f>
        <v>33750</v>
      </c>
      <c r="G29" s="141"/>
      <c r="H29" s="141"/>
      <c r="I29" s="157"/>
    </row>
    <row r="30" spans="1:14" ht="15">
      <c r="A30" s="135">
        <v>11</v>
      </c>
      <c r="B30" s="135" t="s">
        <v>353</v>
      </c>
      <c r="C30" s="135"/>
      <c r="D30" s="135"/>
      <c r="E30" s="135"/>
      <c r="F30" s="225"/>
      <c r="G30" s="871">
        <f>M27</f>
        <v>5.3776000000000002</v>
      </c>
      <c r="H30" s="224">
        <f>ROUND(F$29*G30,0)</f>
        <v>181494</v>
      </c>
      <c r="I30" s="200">
        <f>H30</f>
        <v>181494</v>
      </c>
      <c r="K30" s="223"/>
    </row>
    <row r="31" spans="1:14">
      <c r="A31" s="135">
        <v>12</v>
      </c>
      <c r="B31" s="135"/>
      <c r="C31" s="135"/>
      <c r="D31" s="135"/>
      <c r="E31" s="159"/>
      <c r="F31" s="222"/>
      <c r="G31" s="135"/>
      <c r="H31" s="135"/>
      <c r="I31" s="215"/>
      <c r="J31" s="159"/>
      <c r="K31" s="221"/>
    </row>
    <row r="32" spans="1:14" ht="15" thickBot="1">
      <c r="A32" s="135">
        <v>13</v>
      </c>
      <c r="B32" s="135" t="s">
        <v>352</v>
      </c>
      <c r="C32" s="135"/>
      <c r="D32" s="135"/>
      <c r="E32" s="135"/>
      <c r="F32" s="135"/>
      <c r="G32" s="135"/>
      <c r="H32" s="220">
        <f>SUM(H30:H30)</f>
        <v>181494</v>
      </c>
      <c r="I32" s="220">
        <f>SUM(I30:I30)</f>
        <v>181494</v>
      </c>
      <c r="J32" s="154"/>
    </row>
    <row r="33" spans="1:10" ht="15" thickTop="1">
      <c r="A33" s="135"/>
      <c r="B33" s="154"/>
      <c r="C33" s="154"/>
      <c r="D33" s="154"/>
      <c r="E33" s="154"/>
      <c r="F33" s="154"/>
      <c r="G33" s="154"/>
      <c r="H33" s="154"/>
      <c r="I33" s="215"/>
      <c r="J33" s="155"/>
    </row>
    <row r="34" spans="1:10">
      <c r="A34" s="135"/>
      <c r="B34" s="154"/>
      <c r="C34" s="154"/>
      <c r="D34" s="154"/>
      <c r="E34" s="180"/>
      <c r="F34" s="154"/>
      <c r="G34" s="154"/>
      <c r="H34" s="154"/>
      <c r="I34" s="215"/>
      <c r="J34" s="155"/>
    </row>
    <row r="35" spans="1:10">
      <c r="A35" s="135"/>
      <c r="B35" s="154"/>
      <c r="C35" s="154"/>
      <c r="D35" s="154"/>
      <c r="E35" s="180"/>
      <c r="F35" s="154"/>
      <c r="G35" s="154"/>
      <c r="H35" s="154"/>
      <c r="I35" s="215"/>
      <c r="J35" s="155"/>
    </row>
    <row r="36" spans="1:10">
      <c r="A36" s="135"/>
      <c r="B36" s="154"/>
      <c r="C36" s="154"/>
      <c r="D36" s="154"/>
      <c r="E36" s="180"/>
      <c r="F36" s="154"/>
      <c r="G36" s="154"/>
      <c r="H36" s="154"/>
      <c r="I36" s="215"/>
      <c r="J36" s="155"/>
    </row>
    <row r="37" spans="1:10">
      <c r="A37" s="135"/>
      <c r="B37" s="154"/>
      <c r="C37" s="154"/>
      <c r="D37" s="154"/>
      <c r="E37" s="180"/>
      <c r="F37" s="154"/>
      <c r="G37" s="154"/>
      <c r="H37" s="154"/>
      <c r="I37" s="215"/>
      <c r="J37" s="155"/>
    </row>
    <row r="38" spans="1:10">
      <c r="A38" s="135"/>
      <c r="B38" s="154"/>
      <c r="C38" s="154"/>
      <c r="D38" s="154"/>
      <c r="E38" s="180"/>
      <c r="F38" s="154"/>
      <c r="G38" s="154"/>
      <c r="H38" s="154"/>
      <c r="I38" s="215"/>
      <c r="J38" s="155"/>
    </row>
    <row r="39" spans="1:10">
      <c r="A39" s="135"/>
      <c r="B39" s="154"/>
      <c r="C39" s="154"/>
      <c r="D39" s="154"/>
      <c r="E39" s="180"/>
      <c r="F39" s="218"/>
      <c r="G39" s="154"/>
      <c r="H39" s="154"/>
      <c r="I39" s="215"/>
      <c r="J39" s="155"/>
    </row>
    <row r="40" spans="1:10">
      <c r="A40" s="135"/>
      <c r="B40" s="154"/>
      <c r="C40" s="154"/>
      <c r="D40" s="154"/>
      <c r="E40" s="154"/>
      <c r="F40" s="154"/>
      <c r="G40" s="154"/>
      <c r="H40" s="154"/>
      <c r="I40" s="215"/>
      <c r="J40" s="155"/>
    </row>
    <row r="41" spans="1:10">
      <c r="A41" s="135"/>
      <c r="B41" s="154"/>
      <c r="C41" s="154"/>
      <c r="D41" s="154"/>
      <c r="E41" s="154"/>
      <c r="F41" s="154"/>
      <c r="G41" s="154"/>
      <c r="H41" s="154"/>
      <c r="I41" s="215"/>
      <c r="J41" s="154"/>
    </row>
    <row r="42" spans="1:10">
      <c r="A42" s="135"/>
      <c r="B42" s="154"/>
      <c r="C42" s="154"/>
      <c r="D42" s="154"/>
      <c r="E42" s="154"/>
      <c r="F42" s="154"/>
      <c r="G42" s="154"/>
      <c r="H42" s="154"/>
      <c r="I42" s="215"/>
      <c r="J42" s="154"/>
    </row>
    <row r="43" spans="1:10">
      <c r="A43" s="135"/>
      <c r="B43" s="219"/>
      <c r="C43" s="154"/>
      <c r="D43" s="154"/>
      <c r="E43" s="154"/>
      <c r="F43" s="154"/>
      <c r="G43" s="154"/>
      <c r="H43" s="154"/>
      <c r="I43" s="215"/>
      <c r="J43" s="154"/>
    </row>
    <row r="44" spans="1:10">
      <c r="A44" s="135"/>
      <c r="B44" s="154"/>
      <c r="C44" s="154"/>
      <c r="D44" s="154"/>
      <c r="E44" s="154"/>
      <c r="F44" s="154"/>
      <c r="G44" s="154"/>
      <c r="H44" s="155"/>
      <c r="I44" s="215"/>
      <c r="J44" s="154"/>
    </row>
    <row r="45" spans="1:10">
      <c r="B45" s="154"/>
      <c r="C45" s="154"/>
      <c r="D45" s="154"/>
      <c r="E45" s="154"/>
      <c r="F45" s="154"/>
      <c r="G45" s="154"/>
      <c r="H45" s="154"/>
      <c r="I45" s="215"/>
      <c r="J45" s="155"/>
    </row>
    <row r="46" spans="1:10">
      <c r="B46" s="154"/>
      <c r="C46" s="154"/>
      <c r="D46" s="154"/>
      <c r="E46" s="180"/>
      <c r="F46" s="154"/>
      <c r="G46" s="154"/>
      <c r="H46" s="154"/>
      <c r="I46" s="215"/>
      <c r="J46" s="155"/>
    </row>
    <row r="47" spans="1:10">
      <c r="B47" s="154"/>
      <c r="C47" s="154"/>
      <c r="D47" s="154"/>
      <c r="E47" s="180"/>
      <c r="F47" s="218"/>
      <c r="G47" s="154"/>
      <c r="H47" s="154"/>
      <c r="I47" s="215"/>
      <c r="J47" s="155"/>
    </row>
    <row r="48" spans="1:10">
      <c r="B48" s="154"/>
      <c r="C48" s="154"/>
      <c r="D48" s="154"/>
      <c r="E48" s="180"/>
      <c r="F48" s="154"/>
      <c r="G48" s="154"/>
      <c r="H48" s="154"/>
      <c r="I48" s="215"/>
      <c r="J48" s="155"/>
    </row>
    <row r="49" spans="2:10">
      <c r="B49" s="154"/>
      <c r="C49" s="154"/>
      <c r="D49" s="154"/>
      <c r="E49" s="180"/>
      <c r="F49" s="154"/>
      <c r="G49" s="154"/>
      <c r="H49" s="154"/>
      <c r="I49" s="215"/>
      <c r="J49" s="154"/>
    </row>
    <row r="50" spans="2:10">
      <c r="B50" s="154"/>
      <c r="C50" s="154"/>
      <c r="D50" s="154"/>
      <c r="E50" s="180"/>
      <c r="F50" s="154"/>
      <c r="G50" s="154"/>
      <c r="H50" s="154"/>
      <c r="I50" s="215"/>
      <c r="J50" s="154"/>
    </row>
    <row r="51" spans="2:10">
      <c r="B51" s="154"/>
      <c r="C51" s="154"/>
      <c r="D51" s="154"/>
      <c r="E51" s="180"/>
      <c r="F51" s="154"/>
      <c r="G51" s="154"/>
      <c r="H51" s="155"/>
      <c r="I51" s="215"/>
      <c r="J51" s="154"/>
    </row>
    <row r="52" spans="2:10">
      <c r="B52" s="154"/>
      <c r="C52" s="154"/>
      <c r="D52" s="154"/>
      <c r="E52" s="180"/>
      <c r="F52" s="154"/>
      <c r="G52" s="154"/>
      <c r="H52" s="154"/>
      <c r="I52" s="215"/>
      <c r="J52" s="155"/>
    </row>
    <row r="53" spans="2:10">
      <c r="B53" s="154"/>
      <c r="C53" s="154"/>
      <c r="D53" s="154"/>
      <c r="E53" s="180"/>
      <c r="F53" s="154"/>
      <c r="G53" s="154"/>
      <c r="H53" s="154"/>
      <c r="I53" s="215"/>
      <c r="J53" s="155"/>
    </row>
    <row r="54" spans="2:10">
      <c r="B54" s="154"/>
      <c r="C54" s="154"/>
      <c r="D54" s="154"/>
      <c r="E54" s="180"/>
      <c r="F54" s="218"/>
      <c r="G54" s="154"/>
      <c r="H54" s="154"/>
      <c r="I54" s="215"/>
      <c r="J54" s="155"/>
    </row>
    <row r="55" spans="2:10">
      <c r="B55" s="154"/>
      <c r="C55" s="154"/>
      <c r="D55" s="154"/>
      <c r="E55" s="154"/>
      <c r="F55" s="154"/>
      <c r="G55" s="154"/>
      <c r="H55" s="154"/>
      <c r="I55" s="215"/>
      <c r="J55" s="155"/>
    </row>
    <row r="56" spans="2:10">
      <c r="B56" s="154"/>
      <c r="C56" s="154"/>
      <c r="D56" s="154"/>
      <c r="E56" s="154"/>
      <c r="F56" s="154"/>
      <c r="G56" s="154"/>
      <c r="H56" s="154"/>
      <c r="I56" s="215"/>
      <c r="J56" s="154"/>
    </row>
    <row r="57" spans="2:10">
      <c r="B57" s="154"/>
      <c r="C57" s="154"/>
      <c r="D57" s="154"/>
      <c r="E57" s="154"/>
      <c r="F57" s="154"/>
      <c r="G57" s="154"/>
      <c r="H57" s="154"/>
      <c r="I57" s="215"/>
      <c r="J57" s="154"/>
    </row>
    <row r="58" spans="2:10">
      <c r="B58" s="154"/>
      <c r="C58" s="154"/>
      <c r="D58" s="154"/>
      <c r="E58" s="154"/>
      <c r="F58" s="154"/>
      <c r="G58" s="154"/>
      <c r="H58" s="155"/>
      <c r="I58" s="215"/>
      <c r="J58" s="155"/>
    </row>
    <row r="59" spans="2:10">
      <c r="B59" s="153"/>
      <c r="C59" s="153"/>
      <c r="D59" s="153"/>
      <c r="E59" s="153"/>
      <c r="F59" s="153"/>
      <c r="G59" s="153"/>
      <c r="H59" s="153"/>
      <c r="I59" s="153"/>
      <c r="J59" s="153"/>
    </row>
    <row r="60" spans="2:10">
      <c r="B60" s="153"/>
      <c r="C60" s="153"/>
      <c r="D60" s="153"/>
      <c r="E60" s="153"/>
      <c r="F60" s="153"/>
      <c r="G60" s="153"/>
      <c r="H60" s="153"/>
      <c r="I60" s="153"/>
      <c r="J60" s="153"/>
    </row>
    <row r="61" spans="2:10">
      <c r="B61" s="153"/>
      <c r="C61" s="153"/>
      <c r="D61" s="153"/>
      <c r="E61" s="153"/>
      <c r="F61" s="153"/>
      <c r="G61" s="153"/>
      <c r="H61" s="153"/>
      <c r="I61" s="153"/>
      <c r="J61" s="153"/>
    </row>
    <row r="62" spans="2:10">
      <c r="B62" s="153"/>
      <c r="C62" s="153"/>
      <c r="D62" s="153"/>
      <c r="E62" s="153"/>
      <c r="F62" s="153"/>
      <c r="G62" s="153"/>
      <c r="H62" s="153"/>
      <c r="I62" s="153"/>
      <c r="J62" s="153"/>
    </row>
    <row r="63" spans="2:10">
      <c r="B63" s="153"/>
      <c r="C63" s="153"/>
      <c r="D63" s="153"/>
      <c r="E63" s="153"/>
      <c r="F63" s="153"/>
      <c r="G63" s="153"/>
      <c r="H63" s="153"/>
      <c r="I63" s="153"/>
      <c r="J63" s="153"/>
    </row>
    <row r="64" spans="2:10">
      <c r="B64" s="153"/>
      <c r="C64" s="153"/>
      <c r="D64" s="153"/>
      <c r="E64" s="153"/>
      <c r="F64" s="153"/>
      <c r="G64" s="153"/>
      <c r="H64" s="153"/>
      <c r="I64" s="153"/>
      <c r="J64" s="153"/>
    </row>
    <row r="65" spans="2:10">
      <c r="B65" s="153"/>
      <c r="C65" s="153"/>
      <c r="D65" s="153"/>
      <c r="E65" s="153"/>
      <c r="F65" s="153"/>
      <c r="G65" s="153"/>
      <c r="H65" s="153"/>
      <c r="I65" s="153"/>
      <c r="J65" s="153"/>
    </row>
    <row r="66" spans="2:10">
      <c r="B66" s="153"/>
      <c r="C66" s="153"/>
      <c r="D66" s="153"/>
      <c r="E66" s="153"/>
      <c r="F66" s="153"/>
      <c r="G66" s="153"/>
      <c r="H66" s="153"/>
      <c r="I66" s="153"/>
      <c r="J66" s="153"/>
    </row>
    <row r="67" spans="2:10">
      <c r="B67" s="153"/>
      <c r="C67" s="153"/>
      <c r="D67" s="153"/>
      <c r="E67" s="153"/>
      <c r="F67" s="153"/>
      <c r="G67" s="153"/>
      <c r="H67" s="153"/>
      <c r="I67" s="153"/>
      <c r="J67" s="153"/>
    </row>
    <row r="68" spans="2:10">
      <c r="B68" s="153"/>
      <c r="C68" s="153"/>
      <c r="D68" s="153"/>
      <c r="E68" s="153"/>
      <c r="F68" s="153"/>
      <c r="G68" s="153"/>
      <c r="H68" s="153"/>
      <c r="I68" s="153"/>
      <c r="J68" s="153"/>
    </row>
    <row r="69" spans="2:10">
      <c r="B69" s="153"/>
      <c r="C69" s="153"/>
      <c r="D69" s="153"/>
      <c r="E69" s="153"/>
      <c r="F69" s="153"/>
      <c r="G69" s="153"/>
      <c r="H69" s="153"/>
      <c r="I69" s="153"/>
      <c r="J69" s="153"/>
    </row>
    <row r="70" spans="2:10">
      <c r="B70" s="153"/>
      <c r="C70" s="153"/>
      <c r="D70" s="153"/>
      <c r="E70" s="153"/>
      <c r="F70" s="153"/>
      <c r="G70" s="153"/>
      <c r="H70" s="153"/>
      <c r="I70" s="153"/>
      <c r="J70" s="153"/>
    </row>
    <row r="71" spans="2:10">
      <c r="B71" s="153"/>
      <c r="C71" s="153"/>
      <c r="D71" s="153"/>
      <c r="E71" s="153"/>
      <c r="F71" s="153"/>
      <c r="G71" s="153"/>
      <c r="H71" s="153"/>
      <c r="I71" s="153"/>
      <c r="J71" s="153"/>
    </row>
  </sheetData>
  <printOptions horizontalCentered="1"/>
  <pageMargins left="0.5" right="0.5" top="0.75" bottom="0.75" header="0.5" footer="0.5"/>
  <pageSetup scale="93" orientation="portrait" r:id="rId1"/>
  <headerFooter alignWithMargins="0">
    <oddFooter xml:space="preserve">&amp;L
</oddFooter>
  </headerFooter>
  <customProperties>
    <customPr name="_pios_id" r:id="rId2"/>
  </customProperties>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sheetPr>
  <dimension ref="A1:M65"/>
  <sheetViews>
    <sheetView zoomScale="80" zoomScaleNormal="80" workbookViewId="0">
      <pane xSplit="4" ySplit="6" topLeftCell="E7" activePane="bottomRight" state="frozen"/>
      <selection activeCell="E33" sqref="E33"/>
      <selection pane="topRight" activeCell="E33" sqref="E33"/>
      <selection pane="bottomLeft" activeCell="E33" sqref="E33"/>
      <selection pane="bottomRight" activeCell="E9" sqref="E9"/>
    </sheetView>
  </sheetViews>
  <sheetFormatPr defaultColWidth="9.85546875" defaultRowHeight="14.25"/>
  <cols>
    <col min="1" max="1" width="3.85546875" style="133" customWidth="1"/>
    <col min="2" max="2" width="1.85546875" style="133" customWidth="1"/>
    <col min="3" max="3" width="25.42578125" style="133" customWidth="1"/>
    <col min="4" max="4" width="2.85546875" style="133" customWidth="1"/>
    <col min="5" max="6" width="14.42578125" style="133" bestFit="1" customWidth="1"/>
    <col min="7" max="7" width="13" style="133" bestFit="1" customWidth="1"/>
    <col min="8" max="8" width="9.85546875" style="133" customWidth="1"/>
    <col min="9" max="9" width="14.5703125" style="133" customWidth="1"/>
    <col min="10" max="10" width="9.85546875" style="133"/>
    <col min="11" max="11" width="10.5703125" style="133" bestFit="1" customWidth="1"/>
    <col min="12" max="16384" width="9.85546875" style="133"/>
  </cols>
  <sheetData>
    <row r="1" spans="1:10" ht="15">
      <c r="A1" s="246" t="s">
        <v>51</v>
      </c>
      <c r="B1" s="231"/>
      <c r="C1" s="231"/>
      <c r="D1" s="231"/>
      <c r="E1" s="231"/>
      <c r="F1" s="231"/>
      <c r="G1" s="231"/>
      <c r="H1" s="231"/>
      <c r="I1" s="245" t="s">
        <v>256</v>
      </c>
    </row>
    <row r="2" spans="1:10">
      <c r="A2" s="133" t="str">
        <f>B.1!A2</f>
        <v>Expected Gas Cost (EGC) Calculation</v>
      </c>
      <c r="B2" s="231"/>
      <c r="C2" s="231"/>
      <c r="D2" s="231"/>
      <c r="E2" s="231"/>
      <c r="F2" s="231"/>
      <c r="G2" s="231"/>
      <c r="H2" s="231"/>
      <c r="I2" s="150" t="s">
        <v>384</v>
      </c>
    </row>
    <row r="3" spans="1:10">
      <c r="A3" s="244" t="s">
        <v>383</v>
      </c>
      <c r="B3" s="231"/>
      <c r="C3" s="231"/>
      <c r="D3" s="231"/>
      <c r="E3" s="231"/>
      <c r="F3" s="231"/>
      <c r="G3" s="231"/>
      <c r="H3" s="231"/>
      <c r="I3" s="231"/>
    </row>
    <row r="4" spans="1:10">
      <c r="A4" s="135"/>
      <c r="B4" s="135"/>
      <c r="C4" s="135"/>
      <c r="D4" s="135"/>
      <c r="E4" s="135"/>
      <c r="F4" s="135"/>
      <c r="G4" s="135"/>
      <c r="H4" s="135"/>
      <c r="I4" s="135"/>
    </row>
    <row r="5" spans="1:10">
      <c r="A5" s="159" t="s">
        <v>43</v>
      </c>
      <c r="B5" s="135"/>
      <c r="C5" s="135"/>
      <c r="D5" s="135"/>
      <c r="E5" s="135"/>
      <c r="F5" s="135"/>
      <c r="G5" s="135"/>
      <c r="H5" s="135"/>
      <c r="I5" s="135"/>
    </row>
    <row r="6" spans="1:10" ht="15">
      <c r="A6" s="236" t="s">
        <v>42</v>
      </c>
      <c r="B6" s="161"/>
      <c r="C6" s="161"/>
      <c r="D6" s="161"/>
      <c r="E6" s="159" t="s">
        <v>46</v>
      </c>
      <c r="F6" s="159" t="s">
        <v>45</v>
      </c>
      <c r="G6" s="159" t="s">
        <v>44</v>
      </c>
      <c r="H6" s="159" t="s">
        <v>252</v>
      </c>
      <c r="I6" s="159" t="s">
        <v>251</v>
      </c>
      <c r="J6" s="230"/>
    </row>
    <row r="8" spans="1:10">
      <c r="A8" s="135">
        <v>1</v>
      </c>
      <c r="B8" s="135"/>
      <c r="C8" s="228" t="s">
        <v>382</v>
      </c>
      <c r="D8" s="135"/>
      <c r="E8" s="141"/>
      <c r="F8" s="135"/>
      <c r="G8" s="135"/>
      <c r="H8" s="135"/>
      <c r="I8" s="135"/>
    </row>
    <row r="9" spans="1:10">
      <c r="A9" s="135">
        <v>2</v>
      </c>
      <c r="B9" s="135"/>
      <c r="C9" s="135" t="s">
        <v>381</v>
      </c>
      <c r="D9" s="135"/>
      <c r="E9" s="235">
        <f>B.1!I61</f>
        <v>19952940</v>
      </c>
      <c r="F9" s="135"/>
      <c r="G9" s="135"/>
      <c r="H9" s="135"/>
      <c r="I9" s="141"/>
    </row>
    <row r="10" spans="1:10">
      <c r="A10" s="135">
        <v>3</v>
      </c>
      <c r="B10" s="135"/>
      <c r="C10" s="135" t="s">
        <v>380</v>
      </c>
      <c r="D10" s="135"/>
      <c r="E10" s="141">
        <v>0</v>
      </c>
      <c r="F10" s="135"/>
      <c r="G10" s="135"/>
      <c r="H10" s="135"/>
      <c r="I10" s="141"/>
    </row>
    <row r="11" spans="1:10">
      <c r="A11" s="135">
        <v>4</v>
      </c>
      <c r="B11" s="135"/>
      <c r="C11" s="135" t="s">
        <v>379</v>
      </c>
      <c r="D11" s="135"/>
      <c r="E11" s="155">
        <f>B.2!I38</f>
        <v>5841252</v>
      </c>
      <c r="F11" s="135"/>
      <c r="G11" s="135"/>
      <c r="H11" s="135"/>
      <c r="I11" s="135"/>
    </row>
    <row r="12" spans="1:10">
      <c r="A12" s="135">
        <v>5</v>
      </c>
      <c r="B12" s="135"/>
      <c r="C12" s="135" t="s">
        <v>360</v>
      </c>
      <c r="E12" s="243">
        <f>B.5!I32</f>
        <v>181494</v>
      </c>
    </row>
    <row r="13" spans="1:10" ht="15" thickBot="1">
      <c r="A13" s="135">
        <v>6</v>
      </c>
      <c r="C13" s="135" t="s">
        <v>245</v>
      </c>
      <c r="D13" s="135"/>
      <c r="E13" s="239">
        <f>SUM(E9:E12)</f>
        <v>25975686</v>
      </c>
      <c r="F13" s="135"/>
      <c r="G13" s="135"/>
      <c r="H13" s="135"/>
      <c r="I13" s="135"/>
    </row>
    <row r="14" spans="1:10" ht="15" thickTop="1">
      <c r="A14" s="135">
        <v>7</v>
      </c>
      <c r="B14" s="135"/>
    </row>
    <row r="15" spans="1:10">
      <c r="A15" s="135">
        <v>8</v>
      </c>
      <c r="B15" s="135"/>
      <c r="C15" s="135"/>
      <c r="D15" s="135"/>
      <c r="E15" s="135"/>
      <c r="F15" s="159" t="s">
        <v>378</v>
      </c>
      <c r="G15" s="159" t="s">
        <v>377</v>
      </c>
      <c r="H15" s="237" t="s">
        <v>376</v>
      </c>
      <c r="I15" s="237"/>
    </row>
    <row r="16" spans="1:10">
      <c r="A16" s="135">
        <v>9</v>
      </c>
      <c r="B16" s="135"/>
      <c r="C16" s="228" t="s">
        <v>375</v>
      </c>
      <c r="D16" s="135"/>
      <c r="E16" s="236" t="s">
        <v>374</v>
      </c>
      <c r="F16" s="236" t="s">
        <v>31</v>
      </c>
      <c r="G16" s="236" t="s">
        <v>373</v>
      </c>
      <c r="H16" s="236" t="s">
        <v>366</v>
      </c>
      <c r="I16" s="236" t="s">
        <v>372</v>
      </c>
    </row>
    <row r="17" spans="1:13">
      <c r="A17" s="135">
        <v>10</v>
      </c>
      <c r="B17" s="135"/>
      <c r="C17" s="135" t="s">
        <v>371</v>
      </c>
      <c r="D17" s="135"/>
      <c r="E17" s="140">
        <f>B.8!F22</f>
        <v>0.155</v>
      </c>
      <c r="F17" s="235">
        <f>ROUND($E$13*E17,0)</f>
        <v>4026231</v>
      </c>
      <c r="G17" s="141">
        <f>F35</f>
        <v>16849112</v>
      </c>
      <c r="H17" s="242">
        <f>ROUND(F17/G17,4)</f>
        <v>0.23899999999999999</v>
      </c>
      <c r="I17" s="242">
        <f>H17</f>
        <v>0.23899999999999999</v>
      </c>
    </row>
    <row r="18" spans="1:13">
      <c r="A18" s="135">
        <v>11</v>
      </c>
      <c r="B18" s="135"/>
      <c r="C18" s="135" t="s">
        <v>366</v>
      </c>
      <c r="D18" s="135"/>
      <c r="E18" s="215">
        <f>E19-E17</f>
        <v>0.84499999999999997</v>
      </c>
      <c r="F18" s="141">
        <f>ROUND($E$13*E18,0)</f>
        <v>21949455</v>
      </c>
      <c r="G18" s="155">
        <f>G35</f>
        <v>16617444</v>
      </c>
      <c r="H18" s="241">
        <f>ROUND(F18/G18,4)</f>
        <v>1.3209</v>
      </c>
      <c r="I18" s="240"/>
    </row>
    <row r="19" spans="1:13" ht="15" thickBot="1">
      <c r="A19" s="135">
        <v>12</v>
      </c>
      <c r="C19" s="135" t="s">
        <v>245</v>
      </c>
      <c r="D19" s="135"/>
      <c r="E19" s="214">
        <v>1</v>
      </c>
      <c r="F19" s="239">
        <f>F17+F18</f>
        <v>25975686</v>
      </c>
      <c r="G19" s="135"/>
      <c r="H19" s="238">
        <f>H17+H18</f>
        <v>1.5598999999999998</v>
      </c>
      <c r="I19" s="238">
        <f>I17+I18</f>
        <v>0.23899999999999999</v>
      </c>
    </row>
    <row r="20" spans="1:13" ht="15" thickTop="1">
      <c r="A20" s="135">
        <v>13</v>
      </c>
      <c r="B20" s="135"/>
    </row>
    <row r="21" spans="1:13">
      <c r="A21" s="135">
        <v>14</v>
      </c>
      <c r="B21" s="135"/>
      <c r="C21" s="135"/>
      <c r="D21" s="135"/>
      <c r="E21" s="135"/>
      <c r="F21" s="231" t="s">
        <v>370</v>
      </c>
      <c r="G21" s="231"/>
      <c r="H21" s="135"/>
      <c r="I21" s="135"/>
    </row>
    <row r="22" spans="1:13">
      <c r="A22" s="135">
        <v>15</v>
      </c>
      <c r="B22" s="135"/>
      <c r="C22" s="135"/>
      <c r="D22" s="135"/>
      <c r="E22" s="159" t="s">
        <v>294</v>
      </c>
      <c r="F22" s="237" t="s">
        <v>369</v>
      </c>
      <c r="G22" s="237"/>
      <c r="H22" s="135"/>
      <c r="I22" s="135"/>
    </row>
    <row r="23" spans="1:13">
      <c r="A23" s="135">
        <v>16</v>
      </c>
      <c r="B23" s="135"/>
      <c r="C23" s="135"/>
      <c r="D23" s="135"/>
      <c r="E23" s="236" t="s">
        <v>368</v>
      </c>
      <c r="F23" s="236" t="s">
        <v>367</v>
      </c>
      <c r="G23" s="236" t="s">
        <v>366</v>
      </c>
      <c r="H23" s="135"/>
      <c r="I23" s="135"/>
    </row>
    <row r="24" spans="1:13">
      <c r="A24" s="135">
        <v>17</v>
      </c>
      <c r="B24" s="135"/>
      <c r="C24" s="228" t="s">
        <v>77</v>
      </c>
      <c r="D24" s="135"/>
      <c r="E24" s="135"/>
      <c r="F24" s="135"/>
      <c r="G24" s="135"/>
      <c r="H24" s="135"/>
      <c r="I24" s="135"/>
    </row>
    <row r="25" spans="1:13">
      <c r="A25" s="135">
        <v>18</v>
      </c>
      <c r="B25" s="135"/>
      <c r="C25" s="135" t="s">
        <v>364</v>
      </c>
      <c r="D25" s="135"/>
      <c r="E25" s="135"/>
      <c r="F25" s="135"/>
      <c r="G25" s="135"/>
      <c r="H25" s="135"/>
      <c r="I25" s="135"/>
    </row>
    <row r="26" spans="1:13">
      <c r="A26" s="135">
        <v>19</v>
      </c>
      <c r="B26" s="135"/>
      <c r="C26" s="135" t="s">
        <v>365</v>
      </c>
      <c r="D26" s="135"/>
      <c r="E26" s="811">
        <v>16617444</v>
      </c>
      <c r="F26" s="141">
        <f>E26</f>
        <v>16617444</v>
      </c>
      <c r="G26" s="141">
        <f>E26</f>
        <v>16617444</v>
      </c>
      <c r="H26" s="234">
        <f>H19</f>
        <v>1.5598999999999998</v>
      </c>
      <c r="I26" s="135"/>
    </row>
    <row r="27" spans="1:13">
      <c r="A27" s="135">
        <v>20</v>
      </c>
      <c r="B27" s="135"/>
      <c r="C27" s="135"/>
      <c r="D27" s="135"/>
      <c r="E27" s="811"/>
      <c r="F27" s="141"/>
      <c r="G27" s="135"/>
      <c r="H27" s="135"/>
      <c r="I27" s="135"/>
    </row>
    <row r="28" spans="1:13">
      <c r="A28" s="135">
        <v>21</v>
      </c>
      <c r="B28" s="135"/>
      <c r="C28" s="228" t="s">
        <v>70</v>
      </c>
      <c r="D28" s="135"/>
      <c r="E28" s="813"/>
      <c r="F28" s="141"/>
      <c r="G28" s="135"/>
      <c r="H28" s="234"/>
      <c r="I28" s="135"/>
    </row>
    <row r="29" spans="1:13">
      <c r="A29" s="135">
        <v>22</v>
      </c>
      <c r="B29" s="135"/>
      <c r="C29" s="135" t="s">
        <v>364</v>
      </c>
      <c r="D29" s="135"/>
      <c r="E29" s="813"/>
      <c r="F29" s="141"/>
      <c r="G29" s="135"/>
      <c r="H29" s="234"/>
      <c r="I29" s="135"/>
    </row>
    <row r="30" spans="1:13">
      <c r="A30" s="135">
        <v>23</v>
      </c>
      <c r="B30" s="135"/>
      <c r="C30" s="135" t="s">
        <v>363</v>
      </c>
      <c r="D30" s="135"/>
      <c r="E30" s="811">
        <v>231668</v>
      </c>
      <c r="F30" s="141">
        <f>E30</f>
        <v>231668</v>
      </c>
      <c r="G30" s="135"/>
      <c r="H30" s="234">
        <f>H19</f>
        <v>1.5598999999999998</v>
      </c>
      <c r="I30" s="234">
        <f>I19</f>
        <v>0.23899999999999999</v>
      </c>
      <c r="M30" s="145"/>
    </row>
    <row r="31" spans="1:13">
      <c r="A31" s="135">
        <v>24</v>
      </c>
      <c r="B31" s="135"/>
      <c r="C31" s="135"/>
      <c r="D31" s="135"/>
      <c r="E31" s="813"/>
      <c r="F31" s="141"/>
      <c r="G31" s="135"/>
      <c r="H31" s="234"/>
      <c r="I31" s="135"/>
    </row>
    <row r="32" spans="1:13">
      <c r="A32" s="135">
        <v>25</v>
      </c>
      <c r="B32" s="135"/>
      <c r="C32" s="228" t="s">
        <v>54</v>
      </c>
      <c r="D32" s="135"/>
      <c r="E32" s="813"/>
      <c r="F32" s="141"/>
      <c r="G32" s="135"/>
      <c r="H32" s="234"/>
      <c r="I32" s="135"/>
    </row>
    <row r="33" spans="1:9">
      <c r="A33" s="135">
        <v>26</v>
      </c>
      <c r="B33" s="135"/>
      <c r="C33" s="135" t="s">
        <v>362</v>
      </c>
      <c r="D33" s="135"/>
      <c r="E33" s="811">
        <v>28656251</v>
      </c>
      <c r="F33" s="141"/>
      <c r="G33" s="135"/>
      <c r="H33" s="234"/>
      <c r="I33" s="135"/>
    </row>
    <row r="34" spans="1:9">
      <c r="A34" s="135">
        <v>27</v>
      </c>
      <c r="B34" s="135"/>
      <c r="C34" s="135"/>
      <c r="D34" s="135"/>
      <c r="E34" s="135"/>
      <c r="F34" s="141"/>
      <c r="G34" s="135"/>
      <c r="H34" s="234"/>
      <c r="I34" s="135"/>
    </row>
    <row r="35" spans="1:9" ht="15" thickBot="1">
      <c r="A35" s="135">
        <v>28</v>
      </c>
      <c r="B35" s="135"/>
      <c r="C35" s="135"/>
      <c r="D35" s="135"/>
      <c r="E35" s="138">
        <f>E26+E30+E33</f>
        <v>45505363</v>
      </c>
      <c r="F35" s="138">
        <f>F26+F30</f>
        <v>16849112</v>
      </c>
      <c r="G35" s="138">
        <f>G26</f>
        <v>16617444</v>
      </c>
      <c r="H35" s="234"/>
      <c r="I35" s="135"/>
    </row>
    <row r="36" spans="1:9" ht="15" thickTop="1">
      <c r="A36" s="135">
        <v>29</v>
      </c>
      <c r="B36" s="135"/>
      <c r="C36" s="135"/>
      <c r="D36" s="135"/>
      <c r="E36" s="135"/>
      <c r="F36" s="141"/>
      <c r="G36" s="135"/>
      <c r="H36" s="234"/>
      <c r="I36" s="135"/>
    </row>
    <row r="37" spans="1:9">
      <c r="A37" s="135">
        <v>30</v>
      </c>
      <c r="B37" s="135"/>
      <c r="C37" s="228"/>
      <c r="D37" s="135"/>
      <c r="E37" s="141"/>
      <c r="F37" s="135"/>
      <c r="G37" s="154"/>
      <c r="H37" s="234"/>
      <c r="I37" s="135"/>
    </row>
    <row r="38" spans="1:9">
      <c r="A38" s="154"/>
      <c r="B38" s="135"/>
      <c r="C38" s="135"/>
      <c r="D38" s="135"/>
      <c r="E38" s="135"/>
      <c r="F38" s="235"/>
      <c r="G38" s="135"/>
      <c r="H38" s="234"/>
      <c r="I38" s="135"/>
    </row>
    <row r="39" spans="1:9">
      <c r="A39" s="154"/>
      <c r="B39" s="135"/>
      <c r="C39" s="135"/>
      <c r="D39" s="135"/>
      <c r="E39" s="135"/>
      <c r="F39" s="141"/>
      <c r="G39" s="135"/>
      <c r="H39" s="234"/>
      <c r="I39" s="135"/>
    </row>
    <row r="40" spans="1:9">
      <c r="A40" s="154"/>
      <c r="B40" s="135"/>
      <c r="C40" s="135"/>
      <c r="D40" s="135"/>
      <c r="E40" s="135"/>
      <c r="F40" s="155"/>
      <c r="G40" s="154"/>
      <c r="H40" s="233"/>
      <c r="I40" s="135"/>
    </row>
    <row r="41" spans="1:9">
      <c r="A41" s="135"/>
      <c r="B41" s="135"/>
      <c r="C41" s="135"/>
      <c r="D41" s="135"/>
      <c r="E41" s="135"/>
      <c r="F41" s="141"/>
      <c r="G41" s="135"/>
      <c r="H41" s="135"/>
      <c r="I41" s="135"/>
    </row>
    <row r="42" spans="1:9">
      <c r="A42" s="135"/>
      <c r="C42" s="135"/>
      <c r="D42" s="135"/>
      <c r="E42" s="135"/>
      <c r="F42" s="232"/>
      <c r="G42" s="135"/>
      <c r="H42" s="135"/>
      <c r="I42" s="135"/>
    </row>
    <row r="43" spans="1:9">
      <c r="A43" s="135"/>
    </row>
    <row r="44" spans="1:9">
      <c r="A44" s="135"/>
    </row>
    <row r="45" spans="1:9">
      <c r="A45" s="135"/>
    </row>
    <row r="46" spans="1:9">
      <c r="A46" s="135"/>
      <c r="B46" s="135"/>
      <c r="C46" s="135"/>
      <c r="D46" s="135"/>
      <c r="E46" s="141"/>
      <c r="F46" s="135"/>
      <c r="G46" s="135"/>
      <c r="H46" s="135"/>
      <c r="I46" s="135"/>
    </row>
    <row r="47" spans="1:9">
      <c r="A47" s="135"/>
      <c r="B47" s="135"/>
      <c r="C47" s="135"/>
      <c r="D47" s="135"/>
      <c r="E47" s="141"/>
      <c r="F47" s="135"/>
      <c r="G47" s="135"/>
      <c r="H47" s="135"/>
      <c r="I47" s="135"/>
    </row>
    <row r="48" spans="1:9">
      <c r="A48" s="135"/>
      <c r="B48" s="135"/>
      <c r="C48" s="135"/>
      <c r="D48" s="135"/>
      <c r="E48" s="141"/>
      <c r="F48" s="135"/>
      <c r="G48" s="135"/>
      <c r="H48" s="135"/>
      <c r="I48" s="135"/>
    </row>
    <row r="49" spans="1:9">
      <c r="A49" s="135"/>
      <c r="B49" s="135"/>
      <c r="C49" s="135"/>
      <c r="D49" s="135"/>
      <c r="E49" s="141"/>
      <c r="F49" s="135"/>
      <c r="G49" s="135"/>
      <c r="H49" s="135"/>
      <c r="I49" s="135"/>
    </row>
    <row r="50" spans="1:9">
      <c r="A50" s="135"/>
    </row>
    <row r="51" spans="1:9">
      <c r="A51" s="135"/>
    </row>
    <row r="52" spans="1:9">
      <c r="A52" s="135"/>
    </row>
    <row r="53" spans="1:9">
      <c r="A53" s="135"/>
    </row>
    <row r="54" spans="1:9">
      <c r="A54" s="135"/>
    </row>
    <row r="55" spans="1:9">
      <c r="A55" s="135"/>
    </row>
    <row r="56" spans="1:9">
      <c r="A56" s="135"/>
    </row>
    <row r="57" spans="1:9">
      <c r="A57" s="135"/>
    </row>
    <row r="58" spans="1:9">
      <c r="A58" s="135"/>
    </row>
    <row r="59" spans="1:9">
      <c r="A59" s="135"/>
    </row>
    <row r="60" spans="1:9">
      <c r="A60" s="135"/>
    </row>
    <row r="61" spans="1:9">
      <c r="A61" s="135"/>
    </row>
    <row r="62" spans="1:9">
      <c r="A62" s="135"/>
    </row>
    <row r="63" spans="1:9">
      <c r="A63" s="135"/>
    </row>
    <row r="64" spans="1:9">
      <c r="A64" s="135"/>
    </row>
    <row r="65" spans="1:1">
      <c r="A65" s="135"/>
    </row>
  </sheetData>
  <printOptions horizontalCentered="1"/>
  <pageMargins left="0.5" right="0.5" top="0.5" bottom="0.25" header="0.5" footer="0.5"/>
  <pageSetup scale="95" orientation="portrait" r:id="rId1"/>
  <headerFooter alignWithMargins="0"/>
  <customProperties>
    <customPr name="_pios_id" r:id="rId2"/>
  </customProperties>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92D050"/>
  </sheetPr>
  <dimension ref="A1:O58"/>
  <sheetViews>
    <sheetView zoomScale="115" zoomScaleNormal="115" workbookViewId="0">
      <pane xSplit="4" ySplit="9" topLeftCell="E10" activePane="bottomRight" state="frozen"/>
      <selection activeCell="E33" sqref="E33"/>
      <selection pane="topRight" activeCell="E33" sqref="E33"/>
      <selection pane="bottomLeft" activeCell="E33" sqref="E33"/>
      <selection pane="bottomRight" activeCell="F12" sqref="F12"/>
    </sheetView>
  </sheetViews>
  <sheetFormatPr defaultColWidth="9.85546875" defaultRowHeight="14.25"/>
  <cols>
    <col min="1" max="1" width="4.85546875" style="133" customWidth="1"/>
    <col min="2" max="2" width="9.85546875" style="133"/>
    <col min="3" max="3" width="15.85546875" style="133" customWidth="1"/>
    <col min="4" max="4" width="13.85546875" style="133" customWidth="1"/>
    <col min="5" max="5" width="16.7109375" style="133" customWidth="1"/>
    <col min="6" max="6" width="13.7109375" style="133" customWidth="1"/>
    <col min="7" max="7" width="11.140625" style="133" customWidth="1"/>
    <col min="8" max="8" width="15" style="133" customWidth="1"/>
    <col min="9" max="9" width="10.140625" style="133" bestFit="1" customWidth="1"/>
    <col min="10" max="10" width="12.5703125" style="133" customWidth="1"/>
    <col min="11" max="12" width="9.85546875" style="133"/>
    <col min="13" max="13" width="11.7109375" style="247" bestFit="1" customWidth="1"/>
    <col min="14" max="14" width="9.85546875" style="133"/>
    <col min="15" max="15" width="12.85546875" style="133" bestFit="1" customWidth="1"/>
    <col min="16" max="16384" width="9.85546875" style="133"/>
  </cols>
  <sheetData>
    <row r="1" spans="1:13" ht="15">
      <c r="A1" s="167" t="s">
        <v>51</v>
      </c>
      <c r="B1" s="150"/>
      <c r="C1" s="150"/>
      <c r="D1" s="150"/>
      <c r="E1" s="150"/>
      <c r="F1" s="150"/>
      <c r="G1" s="231"/>
      <c r="H1" s="135" t="s">
        <v>256</v>
      </c>
    </row>
    <row r="2" spans="1:13">
      <c r="A2" s="150" t="str">
        <f>B.1!A2</f>
        <v>Expected Gas Cost (EGC) Calculation</v>
      </c>
      <c r="B2" s="150"/>
      <c r="C2" s="150"/>
      <c r="D2" s="150"/>
      <c r="E2" s="150"/>
      <c r="F2" s="150"/>
      <c r="G2" s="231"/>
      <c r="H2" s="135" t="s">
        <v>403</v>
      </c>
    </row>
    <row r="3" spans="1:13">
      <c r="A3" s="166" t="s">
        <v>402</v>
      </c>
      <c r="B3" s="150"/>
      <c r="C3" s="150"/>
      <c r="D3" s="150"/>
      <c r="E3" s="150"/>
      <c r="F3" s="150"/>
      <c r="G3" s="231"/>
      <c r="H3" s="135"/>
    </row>
    <row r="4" spans="1:13">
      <c r="A4" s="135"/>
      <c r="B4" s="135"/>
      <c r="C4" s="135"/>
      <c r="D4" s="135"/>
      <c r="E4" s="135"/>
      <c r="F4" s="135"/>
      <c r="G4" s="165"/>
      <c r="H4" s="135"/>
    </row>
    <row r="5" spans="1:13">
      <c r="A5" s="258"/>
      <c r="B5" s="135"/>
      <c r="C5" s="135"/>
      <c r="D5" s="135"/>
      <c r="E5" s="159" t="s">
        <v>46</v>
      </c>
      <c r="F5" s="159" t="s">
        <v>45</v>
      </c>
      <c r="G5" s="159" t="s">
        <v>44</v>
      </c>
      <c r="H5" s="159" t="s">
        <v>252</v>
      </c>
      <c r="I5" s="159"/>
      <c r="J5" s="159"/>
    </row>
    <row r="6" spans="1:13" ht="15">
      <c r="A6" s="160"/>
      <c r="B6" s="160"/>
      <c r="C6" s="160"/>
      <c r="D6" s="160"/>
      <c r="E6" s="160"/>
      <c r="F6" s="160"/>
      <c r="G6" s="160"/>
      <c r="H6" s="160"/>
    </row>
    <row r="7" spans="1:13" ht="15">
      <c r="A7" s="163" t="s">
        <v>43</v>
      </c>
      <c r="B7" s="160"/>
      <c r="C7" s="160"/>
      <c r="D7" s="160"/>
      <c r="E7" s="229"/>
      <c r="F7" s="229"/>
      <c r="G7" s="160"/>
      <c r="H7" s="160"/>
    </row>
    <row r="8" spans="1:13" ht="15">
      <c r="A8" s="162" t="s">
        <v>42</v>
      </c>
      <c r="B8" s="161" t="s">
        <v>41</v>
      </c>
      <c r="C8" s="161"/>
      <c r="D8" s="161"/>
      <c r="E8" s="164" t="s">
        <v>334</v>
      </c>
      <c r="F8" s="164"/>
      <c r="G8" s="162" t="s">
        <v>246</v>
      </c>
      <c r="H8" s="162" t="s">
        <v>245</v>
      </c>
    </row>
    <row r="9" spans="1:13" ht="15">
      <c r="A9" s="135"/>
      <c r="B9" s="160"/>
      <c r="C9" s="135"/>
      <c r="D9" s="135"/>
      <c r="E9" s="159" t="s">
        <v>22</v>
      </c>
      <c r="F9" s="159" t="s">
        <v>244</v>
      </c>
      <c r="G9" s="159" t="s">
        <v>38</v>
      </c>
      <c r="H9" s="159" t="s">
        <v>242</v>
      </c>
      <c r="J9" s="982"/>
    </row>
    <row r="10" spans="1:13" ht="15.75" thickBot="1">
      <c r="A10" s="135"/>
      <c r="B10" s="151"/>
      <c r="C10" s="135"/>
      <c r="D10" s="135"/>
      <c r="E10" s="135"/>
      <c r="F10" s="201"/>
      <c r="G10" s="135"/>
      <c r="H10" s="135"/>
      <c r="J10" s="982"/>
    </row>
    <row r="11" spans="1:13" ht="15">
      <c r="A11" s="135">
        <v>1</v>
      </c>
      <c r="B11" s="151" t="s">
        <v>401</v>
      </c>
      <c r="C11" s="135"/>
      <c r="D11" s="135"/>
      <c r="E11" s="141"/>
      <c r="F11" s="141"/>
      <c r="G11" s="135"/>
      <c r="H11" s="135"/>
      <c r="J11" s="1084" t="s">
        <v>1170</v>
      </c>
      <c r="K11" s="1085"/>
      <c r="L11" s="1085"/>
      <c r="M11" s="1086"/>
    </row>
    <row r="12" spans="1:13">
      <c r="A12" s="135">
        <v>2</v>
      </c>
      <c r="B12" s="135" t="s">
        <v>400</v>
      </c>
      <c r="C12" s="135"/>
      <c r="D12" s="135"/>
      <c r="E12" s="811">
        <f>ROUND(F12/1.0108,0)</f>
        <v>2131701</v>
      </c>
      <c r="F12" s="141">
        <f>B.3!G11</f>
        <v>2154723</v>
      </c>
      <c r="G12" s="140">
        <f>IF(F12&lt;&gt;0,ROUND(H12/E12,4),0)</f>
        <v>3.0649000000000002</v>
      </c>
      <c r="H12" s="141">
        <f>B.3!I15</f>
        <v>6533550</v>
      </c>
      <c r="J12" s="1087">
        <f>H12</f>
        <v>6533550</v>
      </c>
      <c r="K12" s="1088">
        <f>B.3!E14</f>
        <v>2.52E-2</v>
      </c>
      <c r="L12" s="1089">
        <f>J12/$J$20</f>
        <v>0.46494504176040574</v>
      </c>
      <c r="M12" s="1090">
        <f>K12*L12</f>
        <v>1.1716615052362225E-2</v>
      </c>
    </row>
    <row r="13" spans="1:13">
      <c r="A13" s="135">
        <v>3</v>
      </c>
      <c r="B13" s="135" t="s">
        <v>359</v>
      </c>
      <c r="C13" s="135"/>
      <c r="D13" s="135"/>
      <c r="E13" s="811">
        <f>ROUND(F13/1.0108,0)</f>
        <v>1744119</v>
      </c>
      <c r="F13" s="141">
        <f>B.3!G17</f>
        <v>1762955</v>
      </c>
      <c r="G13" s="140">
        <f>IF(F13&lt;&gt;0,ROUND(H13/E13,4),0)</f>
        <v>3.0617999999999999</v>
      </c>
      <c r="H13" s="141">
        <f>B.3!I22</f>
        <v>5340166</v>
      </c>
      <c r="J13" s="1087">
        <f>H13</f>
        <v>5340166</v>
      </c>
      <c r="K13" s="1091">
        <f>K12</f>
        <v>2.52E-2</v>
      </c>
      <c r="L13" s="1089">
        <f>J13/$J$20</f>
        <v>0.38002061725669795</v>
      </c>
      <c r="M13" s="1090">
        <f>K13*L13</f>
        <v>9.5765195548687884E-3</v>
      </c>
    </row>
    <row r="14" spans="1:13">
      <c r="A14" s="135">
        <v>4</v>
      </c>
      <c r="B14" s="135" t="s">
        <v>316</v>
      </c>
      <c r="C14" s="135"/>
      <c r="D14" s="184"/>
      <c r="E14" s="1045">
        <f>ROUND(F14/1.0108,0)</f>
        <v>-1477764</v>
      </c>
      <c r="F14" s="155">
        <f>B.3!G25+B.3!G26</f>
        <v>-1493723.57</v>
      </c>
      <c r="G14" s="215">
        <f>IF(F14&lt;&gt;0,ROUND(H14/E14,4),0)</f>
        <v>3.0649000000000002</v>
      </c>
      <c r="H14" s="155">
        <f>B.3!I29</f>
        <v>-4529268.1415999997</v>
      </c>
      <c r="I14" s="221"/>
      <c r="J14" s="1092"/>
      <c r="K14" s="153"/>
      <c r="L14" s="153"/>
      <c r="M14" s="1093"/>
    </row>
    <row r="15" spans="1:13">
      <c r="A15" s="135">
        <v>5</v>
      </c>
      <c r="B15" s="135" t="s">
        <v>399</v>
      </c>
      <c r="C15" s="135"/>
      <c r="D15" s="135"/>
      <c r="E15" s="142">
        <f>SUM(E12:E14)</f>
        <v>2398056</v>
      </c>
      <c r="F15" s="142">
        <f>SUM(F12:F14)</f>
        <v>2423954.4299999997</v>
      </c>
      <c r="G15" s="255">
        <f>IF(F15&lt;&gt;0,ROUND(H15/E15,4),0)</f>
        <v>3.0627</v>
      </c>
      <c r="H15" s="142">
        <f>SUM(H12:H14)</f>
        <v>7344447.8584000003</v>
      </c>
      <c r="J15" s="1087"/>
      <c r="K15" s="153"/>
      <c r="L15" s="153"/>
      <c r="M15" s="1093"/>
    </row>
    <row r="16" spans="1:13">
      <c r="A16" s="135">
        <v>6</v>
      </c>
      <c r="B16" s="135"/>
      <c r="C16" s="135"/>
      <c r="D16" s="135"/>
      <c r="E16" s="135"/>
      <c r="F16" s="141"/>
      <c r="G16" s="135"/>
      <c r="H16" s="135"/>
      <c r="J16" s="1087"/>
      <c r="K16" s="1094"/>
      <c r="L16" s="257"/>
      <c r="M16" s="1093"/>
    </row>
    <row r="17" spans="1:13" ht="15">
      <c r="A17" s="135">
        <v>7</v>
      </c>
      <c r="B17" s="151" t="s">
        <v>398</v>
      </c>
      <c r="C17" s="135"/>
      <c r="D17" s="135"/>
      <c r="E17" s="135"/>
      <c r="F17" s="141"/>
      <c r="G17" s="135"/>
      <c r="H17" s="141"/>
      <c r="J17" s="1087"/>
      <c r="K17" s="153"/>
      <c r="L17" s="153"/>
      <c r="M17" s="1093"/>
    </row>
    <row r="18" spans="1:13">
      <c r="A18" s="135">
        <v>8</v>
      </c>
      <c r="B18" s="135" t="s">
        <v>397</v>
      </c>
      <c r="C18" s="135"/>
      <c r="D18" s="135"/>
      <c r="E18" s="811">
        <f>ROUND(F18/1.0715,0)</f>
        <v>686328</v>
      </c>
      <c r="F18" s="141">
        <f>B.4!H11</f>
        <v>735400.55</v>
      </c>
      <c r="G18" s="140">
        <f>IF(F18&lt;&gt;0,ROUND(H18/E18,4),0)</f>
        <v>3.1743000000000001</v>
      </c>
      <c r="H18" s="141">
        <f>B.4!J16</f>
        <v>2178590</v>
      </c>
      <c r="J18" s="1087">
        <f>H18</f>
        <v>2178590</v>
      </c>
      <c r="K18" s="1088">
        <f>B.4!F15</f>
        <v>1.26E-2</v>
      </c>
      <c r="L18" s="1089">
        <f>J18/$J$20</f>
        <v>0.15503434098289634</v>
      </c>
      <c r="M18" s="1090">
        <f>K18*L18</f>
        <v>1.9534326963844941E-3</v>
      </c>
    </row>
    <row r="19" spans="1:13">
      <c r="A19" s="135">
        <v>9</v>
      </c>
      <c r="B19" s="135" t="s">
        <v>396</v>
      </c>
      <c r="C19" s="135"/>
      <c r="D19" s="135"/>
      <c r="E19" s="811">
        <f>ROUND(F19/1.0715,0)</f>
        <v>0</v>
      </c>
      <c r="F19" s="141">
        <f>B.4!H18</f>
        <v>0</v>
      </c>
      <c r="G19" s="140">
        <f>IF(F19&lt;&gt;0,ROUND(H19/E19,4),0)</f>
        <v>0</v>
      </c>
      <c r="H19" s="141">
        <f>B.4!J23</f>
        <v>0</v>
      </c>
      <c r="J19" s="1087"/>
      <c r="K19" s="257"/>
      <c r="L19" s="257"/>
      <c r="M19" s="1093"/>
    </row>
    <row r="20" spans="1:13" ht="15" thickBot="1">
      <c r="A20" s="135">
        <v>10</v>
      </c>
      <c r="B20" s="135" t="s">
        <v>265</v>
      </c>
      <c r="C20" s="135"/>
      <c r="D20" s="135"/>
      <c r="E20" s="811"/>
      <c r="F20" s="145"/>
      <c r="G20" s="140"/>
      <c r="H20" s="145"/>
      <c r="I20" s="145"/>
      <c r="J20" s="1095">
        <f>SUM(J12:J18)</f>
        <v>14052306</v>
      </c>
      <c r="K20" s="1096"/>
      <c r="L20" s="1096"/>
      <c r="M20" s="1097">
        <f>ROUND(SUM(M12:M18),4)</f>
        <v>2.3199999999999998E-2</v>
      </c>
    </row>
    <row r="21" spans="1:13">
      <c r="A21" s="135">
        <v>11</v>
      </c>
      <c r="B21" s="149" t="s">
        <v>355</v>
      </c>
      <c r="C21" s="135"/>
      <c r="D21" s="135"/>
      <c r="E21" s="811">
        <f>ROUND(F21/1.0715,0)</f>
        <v>-476601</v>
      </c>
      <c r="F21" s="145">
        <f>B.4!H27</f>
        <v>-510678.34</v>
      </c>
      <c r="G21" s="140">
        <f>IF(F21&lt;&gt;0,ROUND(H21/E21,4),0)</f>
        <v>3.1252</v>
      </c>
      <c r="H21" s="257">
        <f>B.4!J27+B.4!J29</f>
        <v>-1489495.6127200001</v>
      </c>
    </row>
    <row r="22" spans="1:13">
      <c r="A22" s="135">
        <v>12</v>
      </c>
      <c r="B22" s="149" t="s">
        <v>312</v>
      </c>
      <c r="C22" s="135"/>
      <c r="D22" s="184"/>
      <c r="E22" s="811">
        <f>ROUND(F22/1.0689,0)</f>
        <v>0</v>
      </c>
      <c r="F22" s="168">
        <f>B.4!H26</f>
        <v>0</v>
      </c>
      <c r="G22" s="140">
        <f>IF(F22&lt;&gt;0,ROUND(H22/E22,4),0)</f>
        <v>0</v>
      </c>
      <c r="H22" s="256">
        <f>B.4!J26+B.4!J28+B.4!J30</f>
        <v>0</v>
      </c>
    </row>
    <row r="23" spans="1:13" ht="15">
      <c r="A23" s="135">
        <v>13</v>
      </c>
      <c r="B23" s="135"/>
      <c r="C23" s="135"/>
      <c r="D23" s="135"/>
      <c r="E23" s="142">
        <f>SUM(E18:E22)</f>
        <v>209727</v>
      </c>
      <c r="F23" s="142">
        <f>SUM(F18:F22)</f>
        <v>224722.21000000002</v>
      </c>
      <c r="G23" s="255">
        <f>IF(F23&lt;&gt;0,ROUND(H23/E23,4),0)</f>
        <v>3.2856999999999998</v>
      </c>
      <c r="H23" s="142">
        <f>SUM(H18:H22)</f>
        <v>689094.38727999991</v>
      </c>
      <c r="I23" s="223"/>
      <c r="J23" s="223"/>
    </row>
    <row r="24" spans="1:13" ht="15">
      <c r="A24" s="135">
        <v>14</v>
      </c>
      <c r="B24" s="151" t="s">
        <v>395</v>
      </c>
      <c r="C24" s="135"/>
      <c r="D24" s="135"/>
      <c r="E24" s="135"/>
      <c r="F24" s="141"/>
      <c r="G24" s="135"/>
      <c r="H24" s="141"/>
    </row>
    <row r="25" spans="1:13">
      <c r="A25" s="135">
        <v>15</v>
      </c>
      <c r="B25" s="135" t="s">
        <v>359</v>
      </c>
      <c r="C25" s="135"/>
      <c r="D25" s="135"/>
      <c r="E25" s="811">
        <f>ROUND(F25/1.0027,0)</f>
        <v>0</v>
      </c>
      <c r="F25" s="141">
        <f>B.5!H12</f>
        <v>0</v>
      </c>
      <c r="G25" s="140">
        <f>IF(F25&lt;&gt;0,ROUND(H25/E25,4),0)</f>
        <v>0</v>
      </c>
      <c r="H25" s="141">
        <f>B.5!J17</f>
        <v>0</v>
      </c>
    </row>
    <row r="26" spans="1:13">
      <c r="A26" s="135">
        <v>16</v>
      </c>
    </row>
    <row r="27" spans="1:13" ht="15">
      <c r="A27" s="135">
        <v>17</v>
      </c>
      <c r="B27" s="151" t="s">
        <v>394</v>
      </c>
      <c r="C27" s="135"/>
      <c r="D27" s="135"/>
      <c r="E27" s="135"/>
      <c r="F27" s="141"/>
      <c r="G27" s="135"/>
      <c r="H27" s="135"/>
    </row>
    <row r="28" spans="1:13">
      <c r="A28" s="135">
        <v>18</v>
      </c>
      <c r="B28" s="135" t="s">
        <v>393</v>
      </c>
      <c r="C28" s="135"/>
      <c r="D28" s="135"/>
      <c r="E28" s="811">
        <f>ROUND(F28/1.0108,0)</f>
        <v>-2001610</v>
      </c>
      <c r="F28" s="144">
        <f>C.2!N24</f>
        <v>-2023227.48</v>
      </c>
      <c r="G28" s="140">
        <f>B.3!H26</f>
        <v>2.9079999999999999</v>
      </c>
      <c r="H28" s="141">
        <f>ROUND(E28*B.3!H29,0)</f>
        <v>-6069281</v>
      </c>
      <c r="I28" s="133" t="s">
        <v>341</v>
      </c>
    </row>
    <row r="29" spans="1:13">
      <c r="A29" s="135">
        <v>19</v>
      </c>
      <c r="B29" s="135" t="s">
        <v>392</v>
      </c>
      <c r="C29" s="135"/>
      <c r="D29" s="135"/>
      <c r="E29" s="810">
        <f>ROUND(F29/1.0103,0)</f>
        <v>0</v>
      </c>
      <c r="F29" s="810">
        <v>0</v>
      </c>
      <c r="G29" s="848"/>
      <c r="H29" s="168">
        <f>ROUND(E29*G29,0)</f>
        <v>0</v>
      </c>
      <c r="K29" s="221"/>
      <c r="L29" s="254"/>
    </row>
    <row r="30" spans="1:13">
      <c r="A30" s="135">
        <v>20</v>
      </c>
      <c r="B30" s="135" t="s">
        <v>391</v>
      </c>
      <c r="C30" s="135"/>
      <c r="D30" s="184"/>
      <c r="E30" s="141">
        <f>E28+E29</f>
        <v>-2001610</v>
      </c>
      <c r="F30" s="141">
        <f>F28+F29</f>
        <v>-2023227.48</v>
      </c>
      <c r="G30" s="215">
        <f>IF(F30&lt;&gt;0,ROUND(H30/E30,4),0)</f>
        <v>3.0322</v>
      </c>
      <c r="H30" s="141">
        <f>H28+H29</f>
        <v>-6069281</v>
      </c>
    </row>
    <row r="31" spans="1:13">
      <c r="A31" s="135">
        <v>21</v>
      </c>
      <c r="B31" s="135"/>
      <c r="C31" s="135"/>
      <c r="D31" s="184"/>
      <c r="E31" s="135"/>
      <c r="F31" s="141"/>
      <c r="G31" s="140"/>
      <c r="H31" s="141"/>
    </row>
    <row r="32" spans="1:13">
      <c r="A32" s="135">
        <v>22</v>
      </c>
      <c r="B32" s="135"/>
      <c r="C32" s="135"/>
      <c r="D32" s="184"/>
      <c r="E32" s="135"/>
      <c r="F32" s="141"/>
      <c r="G32" s="140"/>
      <c r="H32" s="141"/>
    </row>
    <row r="33" spans="1:15">
      <c r="A33" s="135">
        <v>23</v>
      </c>
      <c r="B33" s="135" t="s">
        <v>390</v>
      </c>
      <c r="C33" s="135"/>
      <c r="D33" s="184"/>
      <c r="E33" s="1045">
        <f>ROUND(F33/1.073,0)</f>
        <v>6697</v>
      </c>
      <c r="F33" s="811">
        <f>2958+1839+2389</f>
        <v>7186</v>
      </c>
      <c r="G33" s="140">
        <f>IF(F33&lt;&gt;0,ROUND(H33/E33,4),0)</f>
        <v>2.9079999999999999</v>
      </c>
      <c r="H33" s="141">
        <f>ROUND(E33*C.1!$B$35,0)</f>
        <v>19475</v>
      </c>
    </row>
    <row r="34" spans="1:15">
      <c r="A34" s="135">
        <v>24</v>
      </c>
      <c r="B34" s="135"/>
      <c r="C34" s="135"/>
      <c r="D34" s="184"/>
      <c r="E34" s="135"/>
      <c r="F34" s="141"/>
      <c r="G34" s="140"/>
      <c r="H34" s="141"/>
    </row>
    <row r="35" spans="1:15">
      <c r="A35" s="135">
        <v>25</v>
      </c>
      <c r="B35" s="135"/>
      <c r="C35" s="135"/>
      <c r="D35" s="135"/>
      <c r="E35" s="135"/>
      <c r="F35" s="141"/>
      <c r="G35" s="135"/>
      <c r="H35" s="135"/>
      <c r="N35" s="145"/>
    </row>
    <row r="36" spans="1:15">
      <c r="A36" s="135">
        <v>26</v>
      </c>
      <c r="B36" s="135"/>
      <c r="C36" s="135"/>
      <c r="D36" s="135"/>
      <c r="E36" s="135"/>
      <c r="F36" s="141"/>
      <c r="G36" s="249"/>
      <c r="H36" s="135"/>
    </row>
    <row r="37" spans="1:15">
      <c r="A37" s="135">
        <v>27</v>
      </c>
      <c r="B37" s="135" t="s">
        <v>389</v>
      </c>
      <c r="C37" s="135"/>
      <c r="D37" s="135"/>
      <c r="E37" s="253">
        <f>E15+E23+E25+E30+E33</f>
        <v>612870</v>
      </c>
      <c r="F37" s="253">
        <f>F15+F23+F25+F30+F33</f>
        <v>632635.15999999968</v>
      </c>
      <c r="G37" s="215">
        <f>IF(F37&lt;&gt;0,ROUND(H37/E37,4),0)</f>
        <v>3.2368000000000001</v>
      </c>
      <c r="H37" s="253">
        <f>H15+H23+H25+H30+H33</f>
        <v>1983736.2456800006</v>
      </c>
    </row>
    <row r="38" spans="1:15">
      <c r="A38" s="135">
        <v>28</v>
      </c>
      <c r="B38" s="135"/>
      <c r="C38" s="135"/>
      <c r="D38" s="135"/>
      <c r="E38" s="141"/>
      <c r="F38" s="141"/>
      <c r="G38" s="157"/>
      <c r="H38" s="141"/>
    </row>
    <row r="39" spans="1:15">
      <c r="A39" s="135">
        <v>29</v>
      </c>
      <c r="B39" s="135" t="s">
        <v>388</v>
      </c>
      <c r="C39" s="135"/>
      <c r="D39" s="1039">
        <v>1.1599999999999999E-2</v>
      </c>
      <c r="E39" s="141">
        <f>ROUND(F39*$E$37/$F$37,0)</f>
        <v>7110</v>
      </c>
      <c r="F39" s="141">
        <f>ROUND(F37*D39,0)</f>
        <v>7339</v>
      </c>
      <c r="G39" s="135"/>
      <c r="H39" s="135"/>
    </row>
    <row r="40" spans="1:15">
      <c r="A40" s="135">
        <v>30</v>
      </c>
      <c r="B40" s="135"/>
      <c r="C40" s="135"/>
      <c r="D40" s="135"/>
      <c r="E40" s="135"/>
      <c r="F40" s="141"/>
      <c r="G40" s="182"/>
      <c r="H40" s="135"/>
    </row>
    <row r="41" spans="1:15">
      <c r="A41" s="135">
        <v>31</v>
      </c>
      <c r="B41" s="135" t="s">
        <v>387</v>
      </c>
      <c r="C41" s="135"/>
      <c r="D41" s="141"/>
      <c r="E41" s="252">
        <f>E37-E39</f>
        <v>605760</v>
      </c>
      <c r="F41" s="252">
        <f>F37-F39</f>
        <v>625296.15999999968</v>
      </c>
      <c r="G41" s="215">
        <f>IF(F41&lt;&gt;0,ROUND(H41/E41,4),0)</f>
        <v>3.2747999999999999</v>
      </c>
      <c r="H41" s="252">
        <f>SUM(H37:H40)</f>
        <v>1983736.2456800006</v>
      </c>
      <c r="O41" s="251"/>
    </row>
    <row r="42" spans="1:15">
      <c r="A42" s="135">
        <v>32</v>
      </c>
      <c r="B42" s="135"/>
      <c r="C42" s="135"/>
      <c r="D42" s="135"/>
      <c r="E42" s="135"/>
      <c r="F42" s="141"/>
      <c r="G42" s="135"/>
      <c r="H42" s="135"/>
      <c r="N42" s="134"/>
    </row>
    <row r="43" spans="1:15">
      <c r="A43" s="135">
        <v>33</v>
      </c>
      <c r="B43" s="250"/>
      <c r="C43" s="231"/>
      <c r="D43" s="231"/>
      <c r="E43" s="231"/>
      <c r="F43" s="141"/>
      <c r="G43" s="135"/>
      <c r="H43" s="135"/>
    </row>
    <row r="44" spans="1:15">
      <c r="A44" s="135">
        <v>34</v>
      </c>
      <c r="B44" s="135"/>
      <c r="C44" s="147"/>
      <c r="D44" s="135"/>
      <c r="E44" s="249"/>
      <c r="F44" s="168"/>
      <c r="G44" s="249"/>
      <c r="H44" s="249"/>
    </row>
    <row r="45" spans="1:15" ht="15" thickBot="1">
      <c r="A45" s="135">
        <v>35</v>
      </c>
      <c r="B45" s="135" t="s">
        <v>386</v>
      </c>
      <c r="C45" s="135"/>
      <c r="D45" s="135"/>
      <c r="E45" s="138">
        <f>E41</f>
        <v>605760</v>
      </c>
      <c r="F45" s="138">
        <f>F41</f>
        <v>625296.15999999968</v>
      </c>
      <c r="G45" s="214">
        <f>ROUND(H45/E45, 4)</f>
        <v>3.2747999999999999</v>
      </c>
      <c r="H45" s="138">
        <f>H41</f>
        <v>1983736.2456800006</v>
      </c>
    </row>
    <row r="46" spans="1:15" ht="15" thickTop="1">
      <c r="A46" s="135">
        <v>36</v>
      </c>
      <c r="B46" s="135"/>
      <c r="C46" s="135"/>
      <c r="D46" s="135"/>
      <c r="E46" s="153"/>
      <c r="F46" s="153"/>
      <c r="G46" s="153"/>
      <c r="H46" s="153"/>
    </row>
    <row r="47" spans="1:15">
      <c r="A47" s="135">
        <v>37</v>
      </c>
      <c r="B47" s="135"/>
      <c r="C47" s="135"/>
      <c r="D47" s="135"/>
      <c r="E47" s="145"/>
      <c r="F47" s="155"/>
      <c r="G47" s="215"/>
      <c r="H47" s="155"/>
    </row>
    <row r="48" spans="1:15">
      <c r="A48" s="135">
        <v>38</v>
      </c>
      <c r="B48" s="135" t="s">
        <v>385</v>
      </c>
      <c r="C48" s="135"/>
      <c r="D48" s="135"/>
      <c r="F48" s="141"/>
      <c r="G48" s="135"/>
      <c r="H48" s="141"/>
    </row>
    <row r="49" spans="1:8">
      <c r="A49" s="135">
        <v>39</v>
      </c>
      <c r="B49" s="135"/>
      <c r="C49" s="135"/>
      <c r="D49" s="135"/>
      <c r="F49" s="155"/>
      <c r="G49" s="241"/>
      <c r="H49" s="155"/>
    </row>
    <row r="50" spans="1:8">
      <c r="A50" s="135"/>
      <c r="B50" s="135"/>
      <c r="C50" s="135"/>
      <c r="D50" s="135"/>
      <c r="F50" s="141"/>
      <c r="G50" s="248"/>
      <c r="H50" s="141"/>
    </row>
    <row r="51" spans="1:8">
      <c r="A51" s="135"/>
      <c r="B51" s="135"/>
      <c r="C51" s="135"/>
      <c r="D51" s="135"/>
      <c r="E51" s="141"/>
      <c r="F51" s="141"/>
      <c r="G51" s="135"/>
      <c r="H51" s="141"/>
    </row>
    <row r="52" spans="1:8">
      <c r="A52" s="135"/>
      <c r="B52" s="135"/>
      <c r="C52" s="135"/>
      <c r="D52" s="135"/>
      <c r="E52" s="135"/>
      <c r="F52" s="141"/>
      <c r="G52" s="135"/>
      <c r="H52" s="135"/>
    </row>
    <row r="53" spans="1:8">
      <c r="A53" s="135"/>
      <c r="B53" s="135"/>
      <c r="C53" s="135"/>
      <c r="D53" s="135"/>
      <c r="E53" s="135"/>
      <c r="F53" s="141"/>
      <c r="G53" s="135"/>
      <c r="H53" s="135"/>
    </row>
    <row r="54" spans="1:8">
      <c r="A54" s="135"/>
      <c r="B54" s="135"/>
      <c r="C54" s="135"/>
      <c r="D54" s="135"/>
      <c r="E54" s="135"/>
      <c r="F54" s="141"/>
      <c r="G54" s="135"/>
      <c r="H54" s="135"/>
    </row>
    <row r="55" spans="1:8">
      <c r="A55" s="135"/>
      <c r="B55" s="135"/>
      <c r="C55" s="135"/>
      <c r="D55" s="135"/>
      <c r="E55" s="135"/>
      <c r="F55" s="141"/>
      <c r="G55" s="135"/>
      <c r="H55" s="135"/>
    </row>
    <row r="56" spans="1:8">
      <c r="A56" s="135"/>
    </row>
    <row r="57" spans="1:8">
      <c r="A57" s="135"/>
    </row>
    <row r="58" spans="1:8">
      <c r="A58" s="135"/>
    </row>
  </sheetData>
  <printOptions horizontalCentered="1"/>
  <pageMargins left="0.5" right="0.5" top="0.5" bottom="0.25" header="0.5" footer="0.5"/>
  <pageSetup scale="90" orientation="portrait" r:id="rId1"/>
  <headerFooter alignWithMargins="0"/>
  <customProperties>
    <customPr name="_pios_id" r:id="rId2"/>
  </customProperties>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92D050"/>
  </sheetPr>
  <dimension ref="A1:J50"/>
  <sheetViews>
    <sheetView zoomScale="80" zoomScaleNormal="80" workbookViewId="0">
      <pane xSplit="3" ySplit="8" topLeftCell="D9" activePane="bottomRight" state="frozen"/>
      <selection activeCell="E33" sqref="E33"/>
      <selection pane="topRight" activeCell="E33" sqref="E33"/>
      <selection pane="bottomLeft" activeCell="E33" sqref="E33"/>
      <selection pane="bottomRight" activeCell="F22" sqref="F22"/>
    </sheetView>
  </sheetViews>
  <sheetFormatPr defaultColWidth="9.85546875" defaultRowHeight="14.25"/>
  <cols>
    <col min="1" max="1" width="5.85546875" style="133" customWidth="1"/>
    <col min="2" max="2" width="30" style="133" customWidth="1"/>
    <col min="3" max="3" width="15.28515625" style="133" customWidth="1"/>
    <col min="4" max="4" width="18" style="133" customWidth="1"/>
    <col min="5" max="5" width="9.85546875" style="133"/>
    <col min="6" max="6" width="13" style="133" bestFit="1" customWidth="1"/>
    <col min="7" max="7" width="14.140625" style="133" customWidth="1"/>
    <col min="8" max="16384" width="9.85546875" style="133"/>
  </cols>
  <sheetData>
    <row r="1" spans="1:7" ht="15">
      <c r="A1" s="167" t="s">
        <v>51</v>
      </c>
      <c r="B1" s="150"/>
      <c r="C1" s="150"/>
      <c r="D1" s="150"/>
      <c r="E1" s="150"/>
      <c r="F1" s="135" t="s">
        <v>256</v>
      </c>
    </row>
    <row r="2" spans="1:7">
      <c r="A2" s="133" t="str">
        <f>B.1!A2</f>
        <v>Expected Gas Cost (EGC) Calculation</v>
      </c>
      <c r="D2" s="150"/>
      <c r="E2" s="150"/>
      <c r="F2" s="135" t="s">
        <v>418</v>
      </c>
    </row>
    <row r="3" spans="1:7">
      <c r="A3" s="150" t="s">
        <v>417</v>
      </c>
      <c r="B3" s="150"/>
      <c r="C3" s="150"/>
      <c r="D3" s="135"/>
      <c r="E3" s="135"/>
      <c r="F3" s="135"/>
    </row>
    <row r="6" spans="1:7" ht="15">
      <c r="A6" s="163" t="s">
        <v>43</v>
      </c>
      <c r="B6" s="160"/>
      <c r="C6" s="160"/>
      <c r="D6" s="160"/>
      <c r="E6" s="160"/>
      <c r="F6" s="160"/>
    </row>
    <row r="7" spans="1:7" ht="15">
      <c r="A7" s="162" t="s">
        <v>42</v>
      </c>
      <c r="B7" s="162" t="s">
        <v>41</v>
      </c>
      <c r="C7" s="161"/>
      <c r="D7" s="161"/>
      <c r="E7" s="161"/>
      <c r="F7" s="162" t="s">
        <v>416</v>
      </c>
    </row>
    <row r="9" spans="1:7">
      <c r="A9" s="135"/>
      <c r="B9" s="261"/>
      <c r="C9" s="135"/>
      <c r="D9" s="135"/>
      <c r="E9" s="135"/>
      <c r="F9" s="135"/>
    </row>
    <row r="10" spans="1:7">
      <c r="A10" s="135"/>
      <c r="B10" s="228" t="s">
        <v>415</v>
      </c>
      <c r="C10" s="135"/>
      <c r="D10" s="135"/>
      <c r="E10" s="135"/>
      <c r="F10" s="135"/>
    </row>
    <row r="11" spans="1:7">
      <c r="A11" s="159" t="s">
        <v>333</v>
      </c>
      <c r="B11" s="135" t="s">
        <v>414</v>
      </c>
      <c r="C11" s="135"/>
      <c r="D11" s="135"/>
      <c r="E11" s="141"/>
      <c r="F11" s="141">
        <f>B.6!E26+B.6!E30</f>
        <v>16849112</v>
      </c>
    </row>
    <row r="12" spans="1:7">
      <c r="A12" s="159">
        <v>2</v>
      </c>
      <c r="B12" s="135" t="s">
        <v>413</v>
      </c>
      <c r="C12" s="135"/>
      <c r="D12" s="135"/>
      <c r="E12" s="135"/>
      <c r="F12" s="178">
        <v>0</v>
      </c>
    </row>
    <row r="13" spans="1:7">
      <c r="A13" s="159">
        <v>3</v>
      </c>
      <c r="B13" s="135" t="s">
        <v>412</v>
      </c>
      <c r="C13" s="135"/>
      <c r="D13" s="135"/>
      <c r="E13" s="135"/>
      <c r="F13" s="141">
        <f>SUM(F11:F12)</f>
        <v>16849112</v>
      </c>
    </row>
    <row r="14" spans="1:7">
      <c r="A14" s="159">
        <v>4</v>
      </c>
      <c r="B14" s="135" t="s">
        <v>411</v>
      </c>
      <c r="C14" s="135"/>
      <c r="D14" s="135"/>
      <c r="E14" s="135"/>
      <c r="F14" s="178">
        <v>365</v>
      </c>
    </row>
    <row r="15" spans="1:7" ht="15" thickBot="1">
      <c r="A15" s="159">
        <v>5</v>
      </c>
      <c r="B15" s="135" t="s">
        <v>410</v>
      </c>
      <c r="C15" s="135"/>
      <c r="D15" s="135"/>
      <c r="E15" s="135"/>
      <c r="F15" s="260">
        <f>ROUND(F13/365,0)</f>
        <v>46162</v>
      </c>
    </row>
    <row r="16" spans="1:7" ht="15" thickTop="1">
      <c r="A16" s="159">
        <v>6</v>
      </c>
      <c r="B16" s="135"/>
      <c r="C16" s="135"/>
      <c r="D16" s="135"/>
      <c r="E16" s="135"/>
      <c r="F16" s="141"/>
      <c r="G16" s="135"/>
    </row>
    <row r="17" spans="1:10">
      <c r="A17" s="159">
        <v>7</v>
      </c>
      <c r="B17" s="228" t="s">
        <v>409</v>
      </c>
      <c r="C17" s="135"/>
      <c r="D17" s="135"/>
      <c r="E17" s="135"/>
      <c r="F17" s="135"/>
      <c r="G17" s="135"/>
    </row>
    <row r="18" spans="1:10">
      <c r="A18" s="159">
        <v>8</v>
      </c>
      <c r="B18" s="135" t="s">
        <v>408</v>
      </c>
      <c r="C18" s="135"/>
      <c r="D18" s="135"/>
      <c r="E18" s="135"/>
      <c r="F18" s="135"/>
      <c r="G18" s="135"/>
    </row>
    <row r="19" spans="1:10" ht="15" thickBot="1">
      <c r="A19" s="159">
        <v>9</v>
      </c>
      <c r="B19" s="135" t="s">
        <v>407</v>
      </c>
      <c r="C19" s="135"/>
      <c r="D19" s="135"/>
      <c r="E19" s="135"/>
      <c r="F19" s="1046">
        <v>297787</v>
      </c>
      <c r="G19" s="135" t="s">
        <v>406</v>
      </c>
      <c r="J19" s="133" t="s">
        <v>405</v>
      </c>
    </row>
    <row r="20" spans="1:10" ht="15" thickTop="1">
      <c r="A20" s="159">
        <v>10</v>
      </c>
      <c r="B20" s="135"/>
      <c r="C20" s="135"/>
      <c r="D20" s="135"/>
      <c r="E20" s="135"/>
      <c r="F20" s="141"/>
      <c r="G20" s="135"/>
    </row>
    <row r="21" spans="1:10">
      <c r="A21" s="159">
        <v>11</v>
      </c>
      <c r="B21" s="135"/>
      <c r="C21" s="135"/>
      <c r="D21" s="135"/>
      <c r="E21" s="135"/>
      <c r="F21" s="135"/>
      <c r="G21" s="135"/>
    </row>
    <row r="22" spans="1:10" ht="15">
      <c r="A22" s="159">
        <v>12</v>
      </c>
      <c r="B22" s="135" t="s">
        <v>404</v>
      </c>
      <c r="C22" s="135"/>
      <c r="D22" s="135"/>
      <c r="E22" s="135"/>
      <c r="F22" s="259">
        <f>ROUND(F15/F19,4)</f>
        <v>0.155</v>
      </c>
      <c r="G22" s="135"/>
    </row>
    <row r="23" spans="1:10">
      <c r="A23" s="159">
        <v>13</v>
      </c>
      <c r="B23" s="135"/>
      <c r="C23" s="135"/>
      <c r="D23" s="135"/>
      <c r="E23" s="135"/>
      <c r="F23" s="141"/>
      <c r="G23" s="135"/>
    </row>
    <row r="47" spans="7:7">
      <c r="G47" s="153"/>
    </row>
    <row r="50" spans="6:8">
      <c r="F50" s="153"/>
      <c r="G50" s="153"/>
      <c r="H50" s="153"/>
    </row>
  </sheetData>
  <printOptions horizontalCentered="1"/>
  <pageMargins left="0.5" right="0.5" top="0.5" bottom="0.25" header="0.5" footer="0.5"/>
  <pageSetup scale="90" orientation="portrait" r:id="rId1"/>
  <headerFooter alignWithMargins="0"/>
  <customProperties>
    <customPr name="_pios_id" r:id="rId2"/>
  </customPropertie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V55"/>
  <sheetViews>
    <sheetView zoomScale="80" zoomScaleNormal="80" workbookViewId="0">
      <selection activeCell="B32" sqref="B32:I33"/>
    </sheetView>
  </sheetViews>
  <sheetFormatPr defaultColWidth="9.85546875" defaultRowHeight="12.75"/>
  <cols>
    <col min="1" max="1" width="7.7109375" style="315" customWidth="1"/>
    <col min="2" max="2" width="19" style="315" customWidth="1"/>
    <col min="3" max="3" width="13.5703125" style="316" customWidth="1"/>
    <col min="4" max="4" width="9.7109375" style="315" customWidth="1"/>
    <col min="5" max="5" width="14.7109375" style="315" customWidth="1"/>
    <col min="6" max="6" width="2.7109375" style="315" customWidth="1"/>
    <col min="7" max="7" width="14.7109375" style="315" customWidth="1"/>
    <col min="8" max="8" width="2.7109375" style="315" customWidth="1"/>
    <col min="9" max="9" width="17.7109375" style="315" customWidth="1"/>
    <col min="10" max="10" width="17.140625" style="315" bestFit="1" customWidth="1"/>
    <col min="11" max="11" width="1.85546875" style="315" customWidth="1"/>
    <col min="12" max="12" width="9.85546875" style="315"/>
    <col min="13" max="13" width="2" style="315" customWidth="1"/>
    <col min="14" max="14" width="9.85546875" style="315"/>
    <col min="15" max="15" width="2.140625" style="315" customWidth="1"/>
    <col min="16" max="16" width="12.42578125" style="315" bestFit="1" customWidth="1"/>
    <col min="17" max="18" width="9.85546875" style="315"/>
    <col min="19" max="20" width="10.7109375" style="315" bestFit="1" customWidth="1"/>
    <col min="21" max="16384" width="9.85546875" style="315"/>
  </cols>
  <sheetData>
    <row r="1" spans="1:20" ht="15.75">
      <c r="A1" s="359" t="s">
        <v>51</v>
      </c>
      <c r="B1" s="357"/>
      <c r="C1" s="358"/>
      <c r="D1" s="357"/>
      <c r="E1" s="357"/>
      <c r="F1" s="357"/>
      <c r="G1" s="357"/>
      <c r="H1" s="357"/>
      <c r="I1" s="357"/>
      <c r="J1" s="332"/>
    </row>
    <row r="2" spans="1:20" ht="15.75">
      <c r="A2" s="354" t="s">
        <v>442</v>
      </c>
      <c r="B2" s="354"/>
      <c r="C2" s="355"/>
      <c r="D2" s="354"/>
      <c r="E2" s="354"/>
      <c r="F2" s="354"/>
      <c r="G2" s="354"/>
      <c r="H2" s="354"/>
      <c r="I2" s="354"/>
      <c r="J2" s="332"/>
    </row>
    <row r="3" spans="1:20" ht="15.75">
      <c r="A3" s="356" t="str">
        <f>C.2!A6</f>
        <v>For the Quarter ending  January 31, 2016</v>
      </c>
      <c r="B3" s="354"/>
      <c r="C3" s="355"/>
      <c r="D3" s="354"/>
      <c r="E3" s="354"/>
      <c r="F3" s="354"/>
      <c r="G3" s="354"/>
      <c r="H3" s="354"/>
      <c r="I3" s="354"/>
      <c r="J3" s="332"/>
    </row>
    <row r="4" spans="1:20" ht="15.75">
      <c r="A4" s="332"/>
      <c r="B4" s="332"/>
      <c r="C4" s="349"/>
      <c r="D4" s="332"/>
      <c r="E4" s="332"/>
      <c r="F4" s="332"/>
      <c r="G4" s="332"/>
      <c r="H4" s="332"/>
      <c r="I4" s="332"/>
      <c r="J4" s="332"/>
    </row>
    <row r="5" spans="1:20" ht="15.75">
      <c r="A5" s="1130" t="s">
        <v>441</v>
      </c>
      <c r="B5" s="1130"/>
      <c r="C5" s="1130"/>
      <c r="D5" s="1130"/>
      <c r="E5" s="1130"/>
      <c r="F5" s="1130"/>
      <c r="G5" s="1130"/>
      <c r="H5" s="1130"/>
      <c r="I5" s="1130"/>
      <c r="J5" s="331"/>
      <c r="L5" s="350">
        <f>E12</f>
        <v>42309</v>
      </c>
      <c r="M5" s="352"/>
      <c r="N5" s="350">
        <f>G12</f>
        <v>42339</v>
      </c>
      <c r="O5" s="353"/>
      <c r="P5" s="350">
        <f>I12</f>
        <v>42370</v>
      </c>
    </row>
    <row r="6" spans="1:20" ht="15.75">
      <c r="A6" s="1130"/>
      <c r="B6" s="1130"/>
      <c r="C6" s="1130"/>
      <c r="D6" s="1130"/>
      <c r="E6" s="1130"/>
      <c r="F6" s="1130"/>
      <c r="G6" s="1130"/>
      <c r="H6" s="1130"/>
      <c r="I6" s="1130"/>
      <c r="J6" s="331"/>
      <c r="L6" s="347" t="s">
        <v>439</v>
      </c>
      <c r="M6" s="348"/>
      <c r="N6" s="347" t="s">
        <v>439</v>
      </c>
      <c r="O6" s="348"/>
      <c r="P6" s="347" t="s">
        <v>439</v>
      </c>
    </row>
    <row r="7" spans="1:20" ht="15.75">
      <c r="A7" s="332"/>
      <c r="B7" s="332"/>
      <c r="C7" s="349"/>
      <c r="D7" s="332"/>
      <c r="E7" s="332"/>
      <c r="F7" s="332"/>
      <c r="G7" s="332"/>
      <c r="H7" s="332"/>
      <c r="I7" s="332"/>
      <c r="J7" s="1060">
        <v>42236</v>
      </c>
      <c r="L7" s="1075">
        <v>2.8740000000000001</v>
      </c>
      <c r="M7" s="976"/>
      <c r="N7" s="1077">
        <v>3.0259999999999998</v>
      </c>
      <c r="O7" s="974"/>
      <c r="P7" s="1079">
        <v>3.1259999999999999</v>
      </c>
      <c r="R7" s="341"/>
      <c r="S7" s="341"/>
      <c r="T7" s="341"/>
    </row>
    <row r="8" spans="1:20" ht="15.75" customHeight="1">
      <c r="A8" s="332" t="s">
        <v>440</v>
      </c>
      <c r="B8" s="1129" t="str">
        <f>CONCATENATE("The Gas Supply Department reviewed the NYMEX futures close prices for the quarter of ",TEXT(E12,"Mmmm YYYY")," through ",TEXT(I12,"Mmmm YYYY")," during the period ",TEXT(C14,"Mmmm dd")," through ",TEXT(C23,"Mmmm DD, YYYY."))</f>
        <v>The Gas Supply Department reviewed the NYMEX futures close prices for the quarter of November 2015 through January 2016 during the period September 01 through September 14, 2015.</v>
      </c>
      <c r="C8" s="1129"/>
      <c r="D8" s="1129"/>
      <c r="E8" s="1129"/>
      <c r="F8" s="1129"/>
      <c r="G8" s="1129"/>
      <c r="H8" s="1129"/>
      <c r="I8" s="1129"/>
      <c r="J8" s="1060">
        <v>42237</v>
      </c>
      <c r="L8" s="1075">
        <v>2.7879999999999998</v>
      </c>
      <c r="M8" s="976"/>
      <c r="N8" s="1077">
        <v>2.9390000000000001</v>
      </c>
      <c r="O8" s="974"/>
      <c r="P8" s="1079">
        <v>3.0430000000000001</v>
      </c>
      <c r="R8" s="333"/>
      <c r="S8" s="333"/>
      <c r="T8" s="333"/>
    </row>
    <row r="9" spans="1:20" ht="15.75">
      <c r="A9" s="332"/>
      <c r="B9" s="1129"/>
      <c r="C9" s="1129"/>
      <c r="D9" s="1129"/>
      <c r="E9" s="1129"/>
      <c r="F9" s="1129"/>
      <c r="G9" s="1129"/>
      <c r="H9" s="1129"/>
      <c r="I9" s="1129"/>
      <c r="J9" s="1060">
        <v>42240</v>
      </c>
      <c r="L9" s="1075">
        <v>2.74</v>
      </c>
      <c r="M9" s="976"/>
      <c r="N9" s="1077">
        <v>2.89</v>
      </c>
      <c r="O9" s="974"/>
      <c r="P9" s="1079">
        <v>2.996</v>
      </c>
      <c r="R9" s="333"/>
      <c r="S9" s="333"/>
      <c r="T9" s="333"/>
    </row>
    <row r="10" spans="1:20" ht="15.75">
      <c r="A10" s="332"/>
      <c r="B10" s="1129"/>
      <c r="C10" s="1129"/>
      <c r="D10" s="1129"/>
      <c r="E10" s="1129"/>
      <c r="F10" s="1129"/>
      <c r="G10" s="1129"/>
      <c r="H10" s="1129"/>
      <c r="I10" s="1129"/>
      <c r="J10" s="1060">
        <v>42241</v>
      </c>
      <c r="L10" s="1075">
        <v>2.7730000000000001</v>
      </c>
      <c r="M10" s="976"/>
      <c r="N10" s="1077">
        <v>2.9140000000000001</v>
      </c>
      <c r="O10" s="974"/>
      <c r="P10" s="1079">
        <v>3.0169999999999999</v>
      </c>
      <c r="R10" s="333"/>
      <c r="S10" s="333"/>
      <c r="T10" s="333"/>
    </row>
    <row r="11" spans="1:20" ht="15.75">
      <c r="A11" s="332"/>
      <c r="B11" s="328"/>
      <c r="C11" s="349"/>
      <c r="D11" s="332"/>
      <c r="E11" s="332"/>
      <c r="F11" s="332"/>
      <c r="G11" s="332"/>
      <c r="H11" s="332"/>
      <c r="I11" s="332"/>
      <c r="J11" s="1060">
        <v>42242</v>
      </c>
      <c r="L11" s="1075">
        <v>2.7839999999999998</v>
      </c>
      <c r="M11" s="976"/>
      <c r="N11" s="1077">
        <v>2.9319999999999999</v>
      </c>
      <c r="O11" s="974"/>
      <c r="P11" s="1079">
        <v>3.0379999999999998</v>
      </c>
      <c r="R11" s="333"/>
      <c r="S11" s="333"/>
      <c r="T11" s="333"/>
    </row>
    <row r="12" spans="1:20" ht="15.75">
      <c r="A12" s="332"/>
      <c r="B12" s="332"/>
      <c r="C12" s="349"/>
      <c r="D12" s="328"/>
      <c r="E12" s="350">
        <f>C.2!B9</f>
        <v>42309</v>
      </c>
      <c r="F12" s="352"/>
      <c r="G12" s="350">
        <f>EDATE(E12,1)</f>
        <v>42339</v>
      </c>
      <c r="H12" s="351"/>
      <c r="I12" s="350">
        <f>EDATE(G12,1)</f>
        <v>42370</v>
      </c>
      <c r="J12" s="1060">
        <v>42243</v>
      </c>
      <c r="L12" s="1075">
        <v>2.7450000000000001</v>
      </c>
      <c r="M12" s="976"/>
      <c r="N12" s="1077">
        <v>2.8969999999999998</v>
      </c>
      <c r="O12" s="974"/>
      <c r="P12" s="1079">
        <v>3.0059999999999998</v>
      </c>
      <c r="R12" s="333"/>
      <c r="S12" s="333"/>
      <c r="T12" s="333"/>
    </row>
    <row r="13" spans="1:20" ht="15.75">
      <c r="A13" s="332"/>
      <c r="B13" s="328"/>
      <c r="C13" s="349"/>
      <c r="D13" s="328"/>
      <c r="E13" s="347" t="s">
        <v>439</v>
      </c>
      <c r="F13" s="348"/>
      <c r="G13" s="347" t="s">
        <v>439</v>
      </c>
      <c r="H13" s="348"/>
      <c r="I13" s="347" t="s">
        <v>439</v>
      </c>
      <c r="J13" s="1060">
        <v>42244</v>
      </c>
      <c r="L13" s="1075">
        <v>2.7919999999999998</v>
      </c>
      <c r="M13" s="976"/>
      <c r="N13" s="1077">
        <v>2.9390000000000001</v>
      </c>
      <c r="O13" s="975"/>
      <c r="P13" s="1079">
        <v>3.048</v>
      </c>
      <c r="R13" s="333"/>
      <c r="S13" s="333"/>
      <c r="T13" s="333"/>
    </row>
    <row r="14" spans="1:20" ht="15.75">
      <c r="B14" s="341" t="str">
        <f t="shared" ref="B14:B22" si="0">TEXT(C14,"Dddd")</f>
        <v>Tuesday</v>
      </c>
      <c r="C14" s="346">
        <f t="shared" ref="C14:C22" si="1">J15</f>
        <v>42248</v>
      </c>
      <c r="D14" s="332"/>
      <c r="E14" s="345">
        <f>$L$15</f>
        <v>2.7709999999999999</v>
      </c>
      <c r="F14" s="345"/>
      <c r="G14" s="345">
        <f>$N$15</f>
        <v>2.907</v>
      </c>
      <c r="H14" s="345"/>
      <c r="I14" s="345">
        <f>$P$15</f>
        <v>3.0169999999999999</v>
      </c>
      <c r="J14" s="1060">
        <v>42247</v>
      </c>
      <c r="L14" s="1074">
        <v>2.7610000000000001</v>
      </c>
      <c r="M14" s="976"/>
      <c r="N14" s="1076">
        <v>2.9049999999999998</v>
      </c>
      <c r="O14" s="975"/>
      <c r="P14" s="1078">
        <v>3.016</v>
      </c>
      <c r="R14" s="333"/>
      <c r="S14" s="333"/>
      <c r="T14" s="333"/>
    </row>
    <row r="15" spans="1:20" ht="15.75">
      <c r="A15" s="332"/>
      <c r="B15" s="341" t="str">
        <f t="shared" si="0"/>
        <v>Wednesday</v>
      </c>
      <c r="C15" s="346">
        <f t="shared" si="1"/>
        <v>42249</v>
      </c>
      <c r="D15" s="332"/>
      <c r="E15" s="345">
        <f>$L$16</f>
        <v>2.72</v>
      </c>
      <c r="F15" s="345"/>
      <c r="G15" s="345">
        <f>$N$16</f>
        <v>2.8570000000000002</v>
      </c>
      <c r="H15" s="345"/>
      <c r="I15" s="345">
        <f>$P$16</f>
        <v>2.9689999999999999</v>
      </c>
      <c r="J15" s="1060">
        <v>42248</v>
      </c>
      <c r="L15" s="1075">
        <v>2.7709999999999999</v>
      </c>
      <c r="M15" s="976"/>
      <c r="N15" s="1077">
        <v>2.907</v>
      </c>
      <c r="O15" s="975"/>
      <c r="P15" s="1079">
        <v>3.0169999999999999</v>
      </c>
      <c r="R15" s="333"/>
      <c r="S15" s="333"/>
      <c r="T15" s="333"/>
    </row>
    <row r="16" spans="1:20" ht="15.75">
      <c r="A16" s="332"/>
      <c r="B16" s="341" t="str">
        <f t="shared" si="0"/>
        <v>Thursday</v>
      </c>
      <c r="C16" s="346">
        <f t="shared" si="1"/>
        <v>42250</v>
      </c>
      <c r="D16" s="332"/>
      <c r="E16" s="345">
        <f>$L$17</f>
        <v>2.7959999999999998</v>
      </c>
      <c r="F16" s="345"/>
      <c r="G16" s="345">
        <f>$N$17</f>
        <v>2.9340000000000002</v>
      </c>
      <c r="H16" s="345"/>
      <c r="I16" s="345">
        <f>$P$17</f>
        <v>3.0419999999999998</v>
      </c>
      <c r="J16" s="1060">
        <v>42249</v>
      </c>
      <c r="L16" s="1075">
        <v>2.72</v>
      </c>
      <c r="M16" s="976"/>
      <c r="N16" s="1077">
        <v>2.8570000000000002</v>
      </c>
      <c r="O16" s="975"/>
      <c r="P16" s="1079">
        <v>2.9689999999999999</v>
      </c>
      <c r="R16" s="333"/>
      <c r="S16" s="333"/>
      <c r="T16" s="333"/>
    </row>
    <row r="17" spans="1:22" ht="15.75">
      <c r="A17" s="332"/>
      <c r="B17" s="341" t="str">
        <f t="shared" si="0"/>
        <v>Friday</v>
      </c>
      <c r="C17" s="346">
        <f t="shared" si="1"/>
        <v>42251</v>
      </c>
      <c r="D17" s="332"/>
      <c r="E17" s="345">
        <f>$L$18</f>
        <v>2.7410000000000001</v>
      </c>
      <c r="F17" s="345"/>
      <c r="G17" s="345">
        <f>$N$18</f>
        <v>2.8997000000000002</v>
      </c>
      <c r="H17" s="345"/>
      <c r="I17" s="345">
        <f>$P$18</f>
        <v>3.0070000000000001</v>
      </c>
      <c r="J17" s="1060">
        <v>42250</v>
      </c>
      <c r="L17" s="1075">
        <v>2.7959999999999998</v>
      </c>
      <c r="M17" s="976"/>
      <c r="N17" s="1077">
        <v>2.9340000000000002</v>
      </c>
      <c r="O17" s="975"/>
      <c r="P17" s="1079">
        <v>3.0419999999999998</v>
      </c>
      <c r="R17" s="333"/>
      <c r="S17" s="333"/>
      <c r="T17" s="333"/>
    </row>
    <row r="18" spans="1:22" ht="15.75">
      <c r="A18" s="332"/>
      <c r="B18" s="341" t="str">
        <f t="shared" si="0"/>
        <v>Monday</v>
      </c>
      <c r="C18" s="346">
        <f t="shared" si="1"/>
        <v>42254</v>
      </c>
      <c r="D18" s="332"/>
      <c r="E18" s="345">
        <f>$L$19</f>
        <v>2.7410000000000001</v>
      </c>
      <c r="F18" s="345"/>
      <c r="G18" s="345">
        <f>$N$19</f>
        <v>2.8997000000000002</v>
      </c>
      <c r="H18" s="345"/>
      <c r="I18" s="345">
        <f>$P$19</f>
        <v>3.0070000000000001</v>
      </c>
      <c r="J18" s="1060">
        <v>42251</v>
      </c>
      <c r="L18" s="1075">
        <v>2.7410000000000001</v>
      </c>
      <c r="M18" s="976"/>
      <c r="N18" s="1077">
        <v>2.8997000000000002</v>
      </c>
      <c r="O18" s="975"/>
      <c r="P18" s="1079">
        <v>3.0070000000000001</v>
      </c>
      <c r="R18" s="333"/>
      <c r="S18" s="333"/>
      <c r="T18" s="333"/>
    </row>
    <row r="19" spans="1:22" ht="15.75">
      <c r="A19" s="332"/>
      <c r="B19" s="341" t="str">
        <f t="shared" si="0"/>
        <v>Tuesday</v>
      </c>
      <c r="C19" s="346">
        <f t="shared" si="1"/>
        <v>42255</v>
      </c>
      <c r="D19" s="332"/>
      <c r="E19" s="345">
        <f>$L$20</f>
        <v>2.7919999999999998</v>
      </c>
      <c r="F19" s="345"/>
      <c r="G19" s="345">
        <f>$N$20</f>
        <v>2.9430000000000001</v>
      </c>
      <c r="H19" s="345"/>
      <c r="I19" s="345">
        <f>$P$20</f>
        <v>3.0489999999999999</v>
      </c>
      <c r="J19" s="1060">
        <v>42254</v>
      </c>
      <c r="L19" s="1075">
        <v>2.7410000000000001</v>
      </c>
      <c r="M19" s="976"/>
      <c r="N19" s="1077">
        <v>2.8997000000000002</v>
      </c>
      <c r="O19" s="975"/>
      <c r="P19" s="1079">
        <v>3.0070000000000001</v>
      </c>
      <c r="R19" s="333"/>
      <c r="S19" s="333"/>
      <c r="T19" s="333"/>
    </row>
    <row r="20" spans="1:22" ht="15.75">
      <c r="A20" s="332"/>
      <c r="B20" s="341" t="str">
        <f t="shared" si="0"/>
        <v>Wednesday</v>
      </c>
      <c r="C20" s="346">
        <f t="shared" si="1"/>
        <v>42256</v>
      </c>
      <c r="D20" s="332"/>
      <c r="E20" s="345">
        <f>$L$21</f>
        <v>2.7360000000000002</v>
      </c>
      <c r="F20" s="345"/>
      <c r="G20" s="345">
        <f>$N$21</f>
        <v>2.8959999999999999</v>
      </c>
      <c r="H20" s="345"/>
      <c r="I20" s="345">
        <f>$P$21</f>
        <v>3.0070000000000001</v>
      </c>
      <c r="J20" s="1060">
        <v>42255</v>
      </c>
      <c r="L20" s="1075">
        <v>2.7919999999999998</v>
      </c>
      <c r="M20" s="976"/>
      <c r="N20" s="1077">
        <v>2.9430000000000001</v>
      </c>
      <c r="O20" s="974"/>
      <c r="P20" s="1079">
        <v>3.0489999999999999</v>
      </c>
      <c r="R20" s="333"/>
      <c r="S20" s="333"/>
      <c r="T20" s="333"/>
    </row>
    <row r="21" spans="1:22" ht="15.75">
      <c r="A21" s="332"/>
      <c r="B21" s="341" t="str">
        <f t="shared" si="0"/>
        <v>Thursday</v>
      </c>
      <c r="C21" s="346">
        <f t="shared" si="1"/>
        <v>42257</v>
      </c>
      <c r="D21" s="332"/>
      <c r="E21" s="345">
        <f>$L$22</f>
        <v>2.7589999999999999</v>
      </c>
      <c r="F21" s="345"/>
      <c r="G21" s="345">
        <f>$N$22</f>
        <v>2.9140000000000001</v>
      </c>
      <c r="H21" s="345"/>
      <c r="I21" s="345">
        <f>$P$22</f>
        <v>3.024</v>
      </c>
      <c r="J21" s="1060">
        <v>42256</v>
      </c>
      <c r="L21" s="1075">
        <v>2.7360000000000002</v>
      </c>
      <c r="M21" s="976"/>
      <c r="N21" s="1077">
        <v>2.8959999999999999</v>
      </c>
      <c r="O21" s="974"/>
      <c r="P21" s="1079">
        <v>3.0070000000000001</v>
      </c>
      <c r="R21" s="333"/>
      <c r="S21" s="333"/>
      <c r="T21" s="333"/>
    </row>
    <row r="22" spans="1:22" ht="15.75">
      <c r="A22" s="332"/>
      <c r="B22" s="341" t="str">
        <f t="shared" si="0"/>
        <v>Friday</v>
      </c>
      <c r="C22" s="346">
        <f t="shared" si="1"/>
        <v>42258</v>
      </c>
      <c r="D22" s="332"/>
      <c r="E22" s="345">
        <f>$L$23</f>
        <v>2.7669999999999999</v>
      </c>
      <c r="F22" s="345"/>
      <c r="G22" s="345">
        <f>$N$23</f>
        <v>2.9129999999999998</v>
      </c>
      <c r="H22" s="345"/>
      <c r="I22" s="345">
        <f>$P$23</f>
        <v>3.0219999999999998</v>
      </c>
      <c r="J22" s="1060">
        <v>42257</v>
      </c>
      <c r="L22" s="1075">
        <v>2.7589999999999999</v>
      </c>
      <c r="M22" s="976"/>
      <c r="N22" s="1077">
        <v>2.9140000000000001</v>
      </c>
      <c r="O22" s="974"/>
      <c r="P22" s="1079">
        <v>3.024</v>
      </c>
      <c r="R22" s="333"/>
      <c r="S22" s="333"/>
      <c r="T22" s="333"/>
    </row>
    <row r="23" spans="1:22" ht="15.75">
      <c r="A23" s="332"/>
      <c r="B23" s="341" t="str">
        <f>TEXT(C23,"Dddd")</f>
        <v>Monday</v>
      </c>
      <c r="C23" s="346">
        <f>J24</f>
        <v>42261</v>
      </c>
      <c r="D23" s="332"/>
      <c r="E23" s="345">
        <f>$L$24</f>
        <v>2.8279999999999998</v>
      </c>
      <c r="F23" s="345"/>
      <c r="G23" s="345">
        <f>$N$24</f>
        <v>2.9710000000000001</v>
      </c>
      <c r="H23" s="345"/>
      <c r="I23" s="345">
        <f>$P$24</f>
        <v>3.077</v>
      </c>
      <c r="J23" s="1060">
        <v>42258</v>
      </c>
      <c r="L23" s="1075">
        <v>2.7669999999999999</v>
      </c>
      <c r="M23" s="976"/>
      <c r="N23" s="1077">
        <v>2.9129999999999998</v>
      </c>
      <c r="O23" s="974"/>
      <c r="P23" s="1079">
        <v>3.0219999999999998</v>
      </c>
      <c r="R23" s="333"/>
      <c r="S23" s="333"/>
      <c r="T23" s="333"/>
    </row>
    <row r="24" spans="1:22" ht="15.75">
      <c r="A24" s="332"/>
      <c r="B24" s="341"/>
      <c r="C24" s="344"/>
      <c r="D24" s="332"/>
      <c r="E24" s="342"/>
      <c r="F24" s="343"/>
      <c r="G24" s="342"/>
      <c r="H24" s="343"/>
      <c r="I24" s="342"/>
      <c r="J24" s="1060">
        <v>42261</v>
      </c>
      <c r="L24" s="1075">
        <v>2.8279999999999998</v>
      </c>
      <c r="M24" s="976"/>
      <c r="N24" s="1077">
        <v>2.9710000000000001</v>
      </c>
      <c r="O24" s="974"/>
      <c r="P24" s="1079">
        <v>3.077</v>
      </c>
      <c r="R24" s="630"/>
      <c r="S24" s="333"/>
      <c r="T24" s="630"/>
      <c r="V24" s="631"/>
    </row>
    <row r="25" spans="1:22" ht="16.5" thickBot="1">
      <c r="A25" s="332"/>
      <c r="B25" s="341" t="s">
        <v>285</v>
      </c>
      <c r="C25" s="340"/>
      <c r="D25" s="339"/>
      <c r="E25" s="337">
        <f>AVERAGEA(E14:E23)</f>
        <v>2.7650999999999999</v>
      </c>
      <c r="F25" s="338"/>
      <c r="G25" s="337">
        <f>AVERAGEA(G14:G23)</f>
        <v>2.9134400000000005</v>
      </c>
      <c r="H25" s="338"/>
      <c r="I25" s="337">
        <f>AVERAGEA(I14:I23)</f>
        <v>3.0220999999999996</v>
      </c>
      <c r="J25" s="331"/>
      <c r="M25" s="330"/>
    </row>
    <row r="26" spans="1:22" ht="16.5" thickTop="1">
      <c r="A26" s="332"/>
      <c r="B26" s="336"/>
      <c r="C26" s="866" t="s">
        <v>1038</v>
      </c>
      <c r="D26" s="335"/>
      <c r="E26" s="334"/>
      <c r="F26" s="334"/>
      <c r="G26" s="334"/>
      <c r="H26" s="334"/>
      <c r="I26" s="334"/>
      <c r="J26" s="604" t="s">
        <v>550</v>
      </c>
      <c r="M26" s="329"/>
    </row>
    <row r="27" spans="1:22" ht="15.75" customHeight="1">
      <c r="J27" s="325"/>
    </row>
    <row r="28" spans="1:22" ht="15.75">
      <c r="A28" s="332" t="s">
        <v>438</v>
      </c>
      <c r="B28" s="1128" t="str">
        <f>CONCATENATE("The Company believes prices are ",C26," and prices for the quarter ending ",TEXT(EOMONTH(I12,0),"Mmmm dd, YYYY")," will settle at ",DOLLAR(B35,3)," per MMBTU (based on the average of the past ten days) for the period that the GCA is to become effective.")</f>
        <v>The Company believes prices are decreasing and prices for the quarter ending January 31, 2016 will settle at $2.908 per MMBTU (based on the average of the past ten days) for the period that the GCA is to become effective.</v>
      </c>
      <c r="C28" s="1128"/>
      <c r="D28" s="1128"/>
      <c r="E28" s="1128"/>
      <c r="F28" s="1128"/>
      <c r="G28" s="1128"/>
      <c r="H28" s="1128"/>
      <c r="I28" s="1128"/>
      <c r="J28" s="325"/>
      <c r="M28" s="330"/>
    </row>
    <row r="29" spans="1:22" ht="15.75">
      <c r="A29" s="332"/>
      <c r="B29" s="1128"/>
      <c r="C29" s="1128"/>
      <c r="D29" s="1128"/>
      <c r="E29" s="1128"/>
      <c r="F29" s="1128"/>
      <c r="G29" s="1128"/>
      <c r="H29" s="1128"/>
      <c r="I29" s="1128"/>
      <c r="J29" s="325"/>
      <c r="M29" s="329"/>
      <c r="N29" s="867"/>
    </row>
    <row r="30" spans="1:22" ht="18.75" customHeight="1">
      <c r="A30" s="328"/>
      <c r="B30" s="1128"/>
      <c r="C30" s="1128"/>
      <c r="D30" s="1128"/>
      <c r="E30" s="1128"/>
      <c r="F30" s="1128"/>
      <c r="G30" s="1128"/>
      <c r="H30" s="1128"/>
      <c r="I30" s="1128"/>
      <c r="J30" s="325"/>
      <c r="O30" s="990"/>
    </row>
    <row r="31" spans="1:22" ht="10.5" customHeight="1">
      <c r="A31" s="328"/>
      <c r="B31" s="330"/>
      <c r="C31" s="326"/>
      <c r="D31" s="325"/>
      <c r="E31" s="325"/>
      <c r="F31" s="325"/>
      <c r="G31" s="325"/>
      <c r="H31" s="325"/>
      <c r="I31" s="325"/>
      <c r="J31" s="325"/>
      <c r="N31" s="324"/>
    </row>
    <row r="32" spans="1:22" ht="20.25" customHeight="1">
      <c r="A32" s="328"/>
      <c r="B32" s="1127" t="s">
        <v>437</v>
      </c>
      <c r="C32" s="1127"/>
      <c r="D32" s="1127"/>
      <c r="E32" s="1127"/>
      <c r="F32" s="1127"/>
      <c r="G32" s="1127"/>
      <c r="H32" s="1127"/>
      <c r="I32" s="1127"/>
      <c r="J32" s="319"/>
    </row>
    <row r="33" spans="1:10">
      <c r="A33" s="328"/>
      <c r="B33" s="1127"/>
      <c r="C33" s="1127"/>
      <c r="D33" s="1127"/>
      <c r="E33" s="1127"/>
      <c r="F33" s="1127"/>
      <c r="G33" s="1127"/>
      <c r="H33" s="1127"/>
      <c r="I33" s="1127"/>
      <c r="J33" s="319"/>
    </row>
    <row r="34" spans="1:10" ht="15.75">
      <c r="A34" s="328"/>
      <c r="B34" s="327" t="s">
        <v>436</v>
      </c>
      <c r="C34" s="326"/>
      <c r="D34" s="325"/>
      <c r="E34" s="325"/>
      <c r="F34" s="325"/>
      <c r="G34" s="325"/>
      <c r="H34" s="325"/>
      <c r="I34" s="325"/>
      <c r="J34" s="319"/>
    </row>
    <row r="35" spans="1:10" ht="15.75">
      <c r="B35" s="323">
        <f>C.2!O25</f>
        <v>2.9079999999999999</v>
      </c>
      <c r="C35" s="320"/>
      <c r="D35" s="319"/>
      <c r="E35" s="319"/>
      <c r="F35" s="319"/>
      <c r="G35" s="319"/>
      <c r="H35" s="319"/>
      <c r="I35" s="322"/>
      <c r="J35" s="319"/>
    </row>
    <row r="36" spans="1:10" ht="15.75">
      <c r="B36" s="321"/>
      <c r="C36" s="320"/>
      <c r="D36" s="319"/>
      <c r="E36" s="319"/>
      <c r="F36" s="319"/>
      <c r="G36" s="319"/>
      <c r="H36" s="319"/>
      <c r="I36" s="319"/>
    </row>
    <row r="37" spans="1:10" ht="15.75">
      <c r="B37" s="321"/>
      <c r="C37" s="320"/>
      <c r="D37" s="319"/>
      <c r="E37" s="319"/>
      <c r="F37" s="319"/>
      <c r="G37" s="319"/>
      <c r="H37" s="319"/>
      <c r="I37" s="319"/>
    </row>
    <row r="38" spans="1:10" ht="15.75">
      <c r="B38" s="321"/>
      <c r="C38" s="320"/>
      <c r="D38" s="319"/>
      <c r="E38" s="319"/>
      <c r="F38" s="319"/>
      <c r="G38" s="319"/>
      <c r="H38" s="319"/>
      <c r="I38" s="319"/>
    </row>
    <row r="39" spans="1:10" ht="15.75">
      <c r="B39" s="318"/>
    </row>
    <row r="53" spans="2:2" ht="15.75">
      <c r="B53" s="317"/>
    </row>
    <row r="54" spans="2:2" ht="15.75">
      <c r="B54" s="317"/>
    </row>
    <row r="55" spans="2:2" ht="15.75">
      <c r="B55" s="317"/>
    </row>
  </sheetData>
  <mergeCells count="4">
    <mergeCell ref="B32:I33"/>
    <mergeCell ref="B28:I30"/>
    <mergeCell ref="B8:I10"/>
    <mergeCell ref="A5:I6"/>
  </mergeCells>
  <printOptions horizontalCentered="1"/>
  <pageMargins left="0.36" right="0.45" top="0.75" bottom="0.36" header="0.48" footer="0.17"/>
  <pageSetup orientation="landscape" r:id="rId1"/>
  <headerFooter alignWithMargins="0">
    <oddHeader>&amp;RExhibit C
Page  1 of 2</oddHeader>
  </headerFooter>
  <customProperties>
    <customPr name="_pios_id" r:id="rId2"/>
  </customProperties>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sheetPr>
  <dimension ref="A1:U58"/>
  <sheetViews>
    <sheetView view="pageBreakPreview" zoomScale="80" zoomScaleNormal="85" zoomScaleSheetLayoutView="80" workbookViewId="0">
      <selection activeCell="B22" sqref="B22"/>
    </sheetView>
  </sheetViews>
  <sheetFormatPr defaultColWidth="9.140625" defaultRowHeight="12.75"/>
  <cols>
    <col min="1" max="1" width="18.7109375" style="22" bestFit="1" customWidth="1"/>
    <col min="2" max="2" width="12" style="22" bestFit="1" customWidth="1"/>
    <col min="3" max="3" width="15" style="22" customWidth="1"/>
    <col min="4" max="4" width="13.85546875" style="22" customWidth="1"/>
    <col min="5" max="5" width="2.7109375" style="22" customWidth="1"/>
    <col min="6" max="6" width="12" style="22" bestFit="1" customWidth="1"/>
    <col min="7" max="7" width="8.7109375" style="22" customWidth="1"/>
    <col min="8" max="8" width="13.42578125" style="22" customWidth="1"/>
    <col min="9" max="9" width="2.7109375" style="22" customWidth="1"/>
    <col min="10" max="10" width="12" style="22" bestFit="1" customWidth="1"/>
    <col min="11" max="11" width="12.28515625" style="22" bestFit="1" customWidth="1"/>
    <col min="12" max="12" width="13.42578125" style="22" bestFit="1" customWidth="1"/>
    <col min="13" max="13" width="2.7109375" style="22" customWidth="1"/>
    <col min="14" max="14" width="12.85546875" style="22" bestFit="1" customWidth="1"/>
    <col min="15" max="15" width="9.140625" style="22"/>
    <col min="16" max="16" width="14.85546875" style="22" customWidth="1"/>
    <col min="17" max="17" width="8.85546875" style="22" bestFit="1" customWidth="1"/>
    <col min="18" max="18" width="10.85546875" style="22" bestFit="1" customWidth="1"/>
    <col min="19" max="16384" width="9.140625" style="22"/>
  </cols>
  <sheetData>
    <row r="1" spans="1:18">
      <c r="B1" s="264"/>
      <c r="F1" s="264"/>
      <c r="J1" s="264"/>
      <c r="P1" s="22" t="s">
        <v>430</v>
      </c>
    </row>
    <row r="2" spans="1:18">
      <c r="B2" s="314"/>
      <c r="P2" s="22" t="s">
        <v>55</v>
      </c>
    </row>
    <row r="4" spans="1:18">
      <c r="A4" s="284" t="s">
        <v>51</v>
      </c>
      <c r="B4" s="284"/>
      <c r="C4" s="284"/>
      <c r="D4" s="284"/>
      <c r="E4" s="284"/>
      <c r="F4" s="284"/>
      <c r="G4" s="284"/>
      <c r="H4" s="284"/>
      <c r="I4" s="284"/>
      <c r="J4" s="284"/>
      <c r="K4" s="284"/>
      <c r="L4" s="284"/>
      <c r="M4" s="284"/>
      <c r="N4" s="284"/>
      <c r="O4" s="284"/>
      <c r="P4" s="284"/>
    </row>
    <row r="5" spans="1:18">
      <c r="A5" s="284" t="s">
        <v>428</v>
      </c>
      <c r="B5" s="284"/>
      <c r="C5" s="284"/>
      <c r="D5" s="284"/>
      <c r="E5" s="284"/>
      <c r="F5" s="284"/>
      <c r="G5" s="284"/>
      <c r="H5" s="284"/>
      <c r="I5" s="284"/>
      <c r="J5" s="284"/>
      <c r="K5" s="284"/>
      <c r="L5" s="284"/>
      <c r="M5" s="284"/>
      <c r="N5" s="284"/>
      <c r="O5" s="284"/>
      <c r="P5" s="284"/>
    </row>
    <row r="6" spans="1:18">
      <c r="A6" s="313" t="s">
        <v>1165</v>
      </c>
      <c r="B6" s="284"/>
      <c r="C6" s="284"/>
      <c r="D6" s="284"/>
      <c r="E6" s="284"/>
      <c r="F6" s="284"/>
      <c r="G6" s="284"/>
      <c r="H6" s="284"/>
      <c r="I6" s="284"/>
      <c r="J6" s="284"/>
      <c r="K6" s="284"/>
      <c r="L6" s="284"/>
      <c r="M6" s="284"/>
      <c r="N6" s="284"/>
      <c r="O6" s="284"/>
      <c r="P6" s="284"/>
    </row>
    <row r="7" spans="1:18">
      <c r="A7" s="283" t="s">
        <v>435</v>
      </c>
    </row>
    <row r="9" spans="1:18">
      <c r="B9" s="281">
        <f>Control!B11</f>
        <v>42309</v>
      </c>
      <c r="C9" s="280"/>
      <c r="D9" s="280"/>
      <c r="F9" s="281">
        <f>Control!B12</f>
        <v>42339</v>
      </c>
      <c r="G9" s="280"/>
      <c r="H9" s="280"/>
      <c r="J9" s="281">
        <f>Control!B13</f>
        <v>42370</v>
      </c>
      <c r="K9" s="280"/>
      <c r="L9" s="280"/>
      <c r="N9" s="280" t="s">
        <v>434</v>
      </c>
      <c r="O9" s="280"/>
      <c r="P9" s="280"/>
      <c r="Q9" s="312"/>
      <c r="R9" s="312"/>
    </row>
    <row r="10" spans="1:18">
      <c r="B10" s="279" t="s">
        <v>373</v>
      </c>
      <c r="C10" s="279" t="s">
        <v>246</v>
      </c>
      <c r="D10" s="279" t="s">
        <v>427</v>
      </c>
      <c r="F10" s="279" t="s">
        <v>373</v>
      </c>
      <c r="G10" s="279" t="s">
        <v>246</v>
      </c>
      <c r="H10" s="279" t="s">
        <v>427</v>
      </c>
      <c r="J10" s="279" t="s">
        <v>373</v>
      </c>
      <c r="K10" s="279" t="s">
        <v>246</v>
      </c>
      <c r="L10" s="279" t="s">
        <v>427</v>
      </c>
      <c r="N10" s="279" t="s">
        <v>373</v>
      </c>
      <c r="O10" s="279" t="s">
        <v>246</v>
      </c>
      <c r="P10" s="279" t="s">
        <v>427</v>
      </c>
      <c r="Q10" s="279" t="s">
        <v>393</v>
      </c>
      <c r="R10" s="279" t="s">
        <v>392</v>
      </c>
    </row>
    <row r="11" spans="1:18" ht="15">
      <c r="A11" s="309" t="s">
        <v>288</v>
      </c>
      <c r="B11" s="1047">
        <v>1219401</v>
      </c>
      <c r="C11" s="311"/>
      <c r="D11" s="311"/>
      <c r="E11" s="311"/>
      <c r="F11" s="1047">
        <v>1245016</v>
      </c>
      <c r="G11" s="310"/>
      <c r="H11" s="310"/>
      <c r="I11" s="310"/>
      <c r="J11" s="1047">
        <v>1453261</v>
      </c>
      <c r="K11" s="311"/>
      <c r="L11" s="311"/>
      <c r="M11" s="309"/>
      <c r="N11" s="310">
        <f t="shared" ref="N11:N16" si="0">B11+F11+J11</f>
        <v>3917678</v>
      </c>
      <c r="O11" s="311"/>
      <c r="P11" s="311"/>
      <c r="Q11" s="309"/>
      <c r="R11" s="309"/>
    </row>
    <row r="12" spans="1:18" ht="15">
      <c r="A12" s="309" t="s">
        <v>426</v>
      </c>
      <c r="B12" s="1047">
        <v>0</v>
      </c>
      <c r="C12" s="311"/>
      <c r="D12" s="311"/>
      <c r="E12" s="311"/>
      <c r="F12" s="1047">
        <v>0</v>
      </c>
      <c r="G12" s="310"/>
      <c r="H12" s="310"/>
      <c r="I12" s="310"/>
      <c r="J12" s="1047">
        <v>0</v>
      </c>
      <c r="K12" s="311"/>
      <c r="L12" s="311"/>
      <c r="M12" s="309"/>
      <c r="N12" s="310">
        <f t="shared" si="0"/>
        <v>0</v>
      </c>
      <c r="O12" s="311"/>
      <c r="P12" s="311"/>
      <c r="Q12" s="309"/>
      <c r="R12" s="309"/>
    </row>
    <row r="13" spans="1:18" ht="15">
      <c r="A13" s="309" t="s">
        <v>276</v>
      </c>
      <c r="B13" s="1048">
        <v>218966.1</v>
      </c>
      <c r="C13" s="311"/>
      <c r="D13" s="311"/>
      <c r="E13" s="311"/>
      <c r="F13" s="1048">
        <v>227065.19</v>
      </c>
      <c r="G13" s="310"/>
      <c r="H13" s="310"/>
      <c r="I13" s="310"/>
      <c r="J13" s="1048">
        <v>283167.09999999998</v>
      </c>
      <c r="K13" s="311"/>
      <c r="L13" s="311"/>
      <c r="M13" s="309"/>
      <c r="N13" s="310">
        <f>B13+F13+J13</f>
        <v>729198.39</v>
      </c>
      <c r="O13" s="311"/>
      <c r="P13" s="311"/>
      <c r="Q13" s="309"/>
      <c r="R13" s="309"/>
    </row>
    <row r="14" spans="1:18" ht="15">
      <c r="A14" s="309" t="s">
        <v>433</v>
      </c>
      <c r="B14" s="1048">
        <v>-497907.86</v>
      </c>
      <c r="C14" s="311"/>
      <c r="D14" s="311"/>
      <c r="E14" s="311"/>
      <c r="F14" s="1048">
        <f>+-497907.86</f>
        <v>-497907.86</v>
      </c>
      <c r="G14" s="310"/>
      <c r="H14" s="310"/>
      <c r="I14" s="310"/>
      <c r="J14" s="1048">
        <f>+-497907.86</f>
        <v>-497907.86</v>
      </c>
      <c r="K14" s="311"/>
      <c r="L14" s="311"/>
      <c r="M14" s="309"/>
      <c r="N14" s="310">
        <f t="shared" si="0"/>
        <v>-1493723.58</v>
      </c>
      <c r="O14" s="311"/>
      <c r="P14" s="311"/>
      <c r="Q14" s="615"/>
      <c r="R14" s="615">
        <v>0</v>
      </c>
    </row>
    <row r="15" spans="1:18" ht="15">
      <c r="A15" s="309" t="s">
        <v>424</v>
      </c>
      <c r="B15" s="1048">
        <f>+-169304.1</f>
        <v>-169304.1</v>
      </c>
      <c r="C15" s="311"/>
      <c r="D15" s="311"/>
      <c r="E15" s="311"/>
      <c r="F15" s="1048">
        <f>+-169315.19</f>
        <v>-169315.19</v>
      </c>
      <c r="G15" s="310"/>
      <c r="H15" s="310"/>
      <c r="I15" s="310"/>
      <c r="J15" s="1048">
        <f>+-169304.1</f>
        <v>-169304.1</v>
      </c>
      <c r="K15" s="311"/>
      <c r="L15" s="311"/>
      <c r="M15" s="309"/>
      <c r="N15" s="310">
        <f t="shared" si="0"/>
        <v>-507923.39</v>
      </c>
      <c r="O15" s="311"/>
      <c r="P15" s="311"/>
      <c r="Q15" s="615"/>
      <c r="R15" s="615">
        <v>0</v>
      </c>
    </row>
    <row r="16" spans="1:18" ht="15">
      <c r="A16" s="309" t="s">
        <v>423</v>
      </c>
      <c r="B16" s="1048">
        <v>-674409.16</v>
      </c>
      <c r="C16" s="311"/>
      <c r="D16" s="311"/>
      <c r="E16" s="311"/>
      <c r="F16" s="1048">
        <v>-674409.16</v>
      </c>
      <c r="G16" s="310"/>
      <c r="H16" s="310"/>
      <c r="I16" s="310"/>
      <c r="J16" s="1048">
        <v>-674409.16</v>
      </c>
      <c r="K16" s="311"/>
      <c r="L16" s="311"/>
      <c r="M16" s="309"/>
      <c r="N16" s="310">
        <f t="shared" si="0"/>
        <v>-2023227.48</v>
      </c>
      <c r="O16" s="311"/>
      <c r="P16" s="311"/>
      <c r="Q16" s="615"/>
      <c r="R16" s="615">
        <v>0</v>
      </c>
    </row>
    <row r="17" spans="1:21" ht="15">
      <c r="A17" s="309" t="s">
        <v>380</v>
      </c>
      <c r="B17" s="616">
        <v>0</v>
      </c>
      <c r="C17" s="311"/>
      <c r="D17" s="311"/>
      <c r="E17" s="311"/>
      <c r="F17" s="616">
        <v>0</v>
      </c>
      <c r="G17" s="311"/>
      <c r="H17" s="311"/>
      <c r="I17" s="311"/>
      <c r="J17" s="616">
        <v>0</v>
      </c>
      <c r="K17" s="311"/>
      <c r="L17" s="311"/>
      <c r="M17" s="309"/>
      <c r="N17" s="616">
        <f>0</f>
        <v>0</v>
      </c>
      <c r="O17" s="311"/>
      <c r="P17" s="311"/>
      <c r="Q17" s="309"/>
      <c r="R17" s="617"/>
    </row>
    <row r="18" spans="1:21" ht="15">
      <c r="B18" s="311">
        <f>SUM(B11:B17)</f>
        <v>96745.980000000098</v>
      </c>
      <c r="C18" s="311"/>
      <c r="D18" s="311"/>
      <c r="E18" s="311"/>
      <c r="F18" s="311">
        <f>SUM(F11:F17)</f>
        <v>130448.97999999986</v>
      </c>
      <c r="G18" s="311"/>
      <c r="H18" s="311"/>
      <c r="I18" s="311"/>
      <c r="J18" s="311">
        <f>SUM(J11:J17)</f>
        <v>394806.9800000001</v>
      </c>
      <c r="K18" s="311"/>
      <c r="L18" s="311"/>
      <c r="M18" s="309"/>
      <c r="N18" s="311">
        <f>SUM(N11:N17)</f>
        <v>622001.93999999948</v>
      </c>
      <c r="O18" s="311"/>
      <c r="P18" s="311"/>
      <c r="Q18" s="309"/>
      <c r="R18" s="618">
        <f>SUM(R14:R17)</f>
        <v>0</v>
      </c>
    </row>
    <row r="19" spans="1:21" ht="15">
      <c r="B19" s="311"/>
      <c r="C19" s="311"/>
      <c r="D19" s="311"/>
      <c r="E19" s="311"/>
      <c r="F19" s="311"/>
      <c r="G19" s="311"/>
      <c r="H19" s="311"/>
      <c r="I19" s="311"/>
      <c r="J19" s="311"/>
      <c r="K19" s="273"/>
      <c r="L19" s="273"/>
      <c r="N19" s="273"/>
      <c r="O19" s="273"/>
      <c r="P19" s="273"/>
    </row>
    <row r="20" spans="1:21" ht="15">
      <c r="A20" s="22" t="s">
        <v>432</v>
      </c>
      <c r="B20" s="946">
        <v>0</v>
      </c>
      <c r="C20" s="947"/>
      <c r="D20" s="948">
        <f>+ROUND(B20*C20,0)</f>
        <v>0</v>
      </c>
      <c r="E20" s="949"/>
      <c r="F20" s="946">
        <v>0</v>
      </c>
      <c r="G20" s="947"/>
      <c r="H20" s="948">
        <f>+ROUND(F20*G20,0)</f>
        <v>0</v>
      </c>
      <c r="I20" s="308"/>
      <c r="J20" s="307">
        <v>0</v>
      </c>
      <c r="K20" s="306"/>
      <c r="L20" s="305">
        <f>+ROUND(J20*K20,0)</f>
        <v>0</v>
      </c>
      <c r="M20" s="293"/>
      <c r="N20" s="294">
        <f t="shared" ref="N20:N25" si="1">B20+F20+J20</f>
        <v>0</v>
      </c>
      <c r="O20" s="303"/>
      <c r="P20" s="304">
        <f>+D20+H20+L20</f>
        <v>0</v>
      </c>
    </row>
    <row r="21" spans="1:21" ht="15" hidden="1">
      <c r="A21" s="22" t="s">
        <v>431</v>
      </c>
      <c r="B21" s="307"/>
      <c r="C21" s="306"/>
      <c r="D21" s="305"/>
      <c r="E21" s="308"/>
      <c r="F21" s="307"/>
      <c r="G21" s="306"/>
      <c r="H21" s="305"/>
      <c r="I21" s="308"/>
      <c r="J21" s="307"/>
      <c r="K21" s="306"/>
      <c r="L21" s="305"/>
      <c r="M21" s="293"/>
      <c r="N21" s="294">
        <f t="shared" si="1"/>
        <v>0</v>
      </c>
      <c r="O21" s="303"/>
      <c r="P21" s="304">
        <f>+D21+H21+L21</f>
        <v>0</v>
      </c>
    </row>
    <row r="22" spans="1:21" ht="15">
      <c r="A22" s="22" t="s">
        <v>425</v>
      </c>
      <c r="B22" s="302">
        <f>B14</f>
        <v>-497907.86</v>
      </c>
      <c r="C22" s="300">
        <f>B.3!$H$29</f>
        <v>3.0321996871214929</v>
      </c>
      <c r="D22" s="302">
        <f>ROUND(B22*C22,0)</f>
        <v>-1509756</v>
      </c>
      <c r="E22" s="293"/>
      <c r="F22" s="294">
        <f>F14</f>
        <v>-497907.86</v>
      </c>
      <c r="G22" s="300">
        <f>C22</f>
        <v>3.0321996871214929</v>
      </c>
      <c r="H22" s="302">
        <f>ROUND(F22*G22,0)</f>
        <v>-1509756</v>
      </c>
      <c r="I22" s="293"/>
      <c r="J22" s="294">
        <f>J14</f>
        <v>-497907.86</v>
      </c>
      <c r="K22" s="300">
        <f>C22</f>
        <v>3.0321996871214929</v>
      </c>
      <c r="L22" s="302">
        <f>ROUND(J22*K22,0)</f>
        <v>-1509756</v>
      </c>
      <c r="M22" s="293"/>
      <c r="N22" s="294">
        <f t="shared" si="1"/>
        <v>-1493723.58</v>
      </c>
      <c r="O22" s="303">
        <f>ROUND(P22/N22,3)</f>
        <v>3.032</v>
      </c>
      <c r="P22" s="302">
        <f>D22+H22+L22</f>
        <v>-4529268</v>
      </c>
    </row>
    <row r="23" spans="1:21" ht="12" customHeight="1">
      <c r="A23" s="22" t="s">
        <v>424</v>
      </c>
      <c r="B23" s="302">
        <f>+B15</f>
        <v>-169304.1</v>
      </c>
      <c r="C23" s="300">
        <f>B.4!$I$31</f>
        <v>2.9167001927671339</v>
      </c>
      <c r="D23" s="302">
        <f>ROUND(B23*C23,0)</f>
        <v>-493809</v>
      </c>
      <c r="E23" s="293"/>
      <c r="F23" s="294">
        <f>+F15</f>
        <v>-169315.19</v>
      </c>
      <c r="G23" s="300">
        <f>C23</f>
        <v>2.9167001927671339</v>
      </c>
      <c r="H23" s="302">
        <f>ROUND(F23*G23,0)</f>
        <v>-493842</v>
      </c>
      <c r="I23" s="293"/>
      <c r="J23" s="738">
        <f>+J15</f>
        <v>-169304.1</v>
      </c>
      <c r="K23" s="300">
        <f>C23</f>
        <v>2.9167001927671339</v>
      </c>
      <c r="L23" s="302">
        <f>ROUND(J23*K23,0)</f>
        <v>-493809</v>
      </c>
      <c r="M23" s="293"/>
      <c r="N23" s="294">
        <f t="shared" si="1"/>
        <v>-507923.39</v>
      </c>
      <c r="O23" s="297">
        <f>ROUND(P23/N23,3)</f>
        <v>2.9169999999999998</v>
      </c>
      <c r="P23" s="302">
        <f>D23+H23+L23</f>
        <v>-1481460</v>
      </c>
    </row>
    <row r="24" spans="1:21" ht="15">
      <c r="A24" s="22" t="s">
        <v>423</v>
      </c>
      <c r="B24" s="302">
        <f>B16</f>
        <v>-674409.16</v>
      </c>
      <c r="C24" s="300">
        <f>C22</f>
        <v>3.0321996871214929</v>
      </c>
      <c r="D24" s="302">
        <f>ROUND(B24*C24,0)</f>
        <v>-2044943</v>
      </c>
      <c r="E24" s="293"/>
      <c r="F24" s="294">
        <f>F16</f>
        <v>-674409.16</v>
      </c>
      <c r="G24" s="300">
        <f>G22</f>
        <v>3.0321996871214929</v>
      </c>
      <c r="H24" s="302">
        <f>ROUND(F24*G24,0)</f>
        <v>-2044943</v>
      </c>
      <c r="I24" s="293"/>
      <c r="J24" s="294">
        <f>J16</f>
        <v>-674409.16</v>
      </c>
      <c r="K24" s="300">
        <f>K22</f>
        <v>3.0321996871214929</v>
      </c>
      <c r="L24" s="302">
        <f>ROUND(J24*K24,0)</f>
        <v>-2044943</v>
      </c>
      <c r="M24" s="293"/>
      <c r="N24" s="294">
        <f t="shared" si="1"/>
        <v>-2023227.48</v>
      </c>
      <c r="O24" s="297">
        <f>ROUND(P24/N24,3)</f>
        <v>3.032</v>
      </c>
      <c r="P24" s="302">
        <f>D24+H24+L24</f>
        <v>-6134829</v>
      </c>
    </row>
    <row r="25" spans="1:21" ht="16.5">
      <c r="A25" s="22" t="s">
        <v>420</v>
      </c>
      <c r="B25" s="301">
        <f>SUM(B11:B13)-B20</f>
        <v>1438367.1</v>
      </c>
      <c r="C25" s="300">
        <f>C.1!E25</f>
        <v>2.7650999999999999</v>
      </c>
      <c r="D25" s="299">
        <f>ROUND(B25*C25,0)</f>
        <v>3977229</v>
      </c>
      <c r="E25" s="293"/>
      <c r="F25" s="301">
        <f>SUM(F11:F13)-F20</f>
        <v>1472081.19</v>
      </c>
      <c r="G25" s="300">
        <f>C.1!G25</f>
        <v>2.9134400000000005</v>
      </c>
      <c r="H25" s="299">
        <f>ROUND(F25*G25,0)</f>
        <v>4288820</v>
      </c>
      <c r="I25" s="293"/>
      <c r="J25" s="301">
        <f>SUM(J11:J13)-J20</f>
        <v>1736428.1</v>
      </c>
      <c r="K25" s="300">
        <f>C.1!I25</f>
        <v>3.0220999999999996</v>
      </c>
      <c r="L25" s="299">
        <f>ROUND(J25*K25,0)</f>
        <v>5247659</v>
      </c>
      <c r="M25" s="293"/>
      <c r="N25" s="298">
        <f t="shared" si="1"/>
        <v>4646876.3900000006</v>
      </c>
      <c r="O25" s="297">
        <f>ROUND(P25/N25,3)</f>
        <v>2.9079999999999999</v>
      </c>
      <c r="P25" s="296">
        <f>D25+H25+L25</f>
        <v>13513708</v>
      </c>
    </row>
    <row r="26" spans="1:21">
      <c r="B26" s="294">
        <f>SUM(B20:B25)</f>
        <v>96745.979999999981</v>
      </c>
      <c r="C26" s="295"/>
      <c r="D26" s="292">
        <f>SUM(D20:D25)</f>
        <v>-71279</v>
      </c>
      <c r="E26" s="293"/>
      <c r="F26" s="294">
        <f>SUM(F20:F25)</f>
        <v>130448.97999999998</v>
      </c>
      <c r="G26" s="295"/>
      <c r="H26" s="292">
        <f>SUM(H20:H25)</f>
        <v>240279</v>
      </c>
      <c r="I26" s="293"/>
      <c r="J26" s="294">
        <f>SUM(J20:J25)</f>
        <v>394806.98</v>
      </c>
      <c r="K26" s="295"/>
      <c r="L26" s="292">
        <f>SUM(L20:L25)</f>
        <v>1199151</v>
      </c>
      <c r="M26" s="293"/>
      <c r="N26" s="294">
        <f>SUM(N20:N25)</f>
        <v>622001.94000000041</v>
      </c>
      <c r="O26" s="293"/>
      <c r="P26" s="292">
        <f>SUM(P20:P25)</f>
        <v>1368151</v>
      </c>
      <c r="Q26" s="264">
        <f>SUM(Q14:Q16)</f>
        <v>0</v>
      </c>
      <c r="R26" s="264">
        <f>SUM(R14:R16)</f>
        <v>0</v>
      </c>
    </row>
    <row r="27" spans="1:21" ht="15">
      <c r="A27" s="22" t="s">
        <v>419</v>
      </c>
      <c r="C27" s="262">
        <f>(ABS(D20)+ABS(D22)+ABS(D23)+ABS(D24)+ABS(D25))/(ABS(B20)+ABS(B22)+ABS(B23)+ABS(B24)+ABS(B25))</f>
        <v>2.8869679886629158</v>
      </c>
      <c r="G27" s="262">
        <f>(ABS(H20)+ABS(H22)+ABS(H23)+ABS(H24)+ABS(H25))/(ABS(F20)+ABS(F22)+ABS(F23)+ABS(F24)+ABS(F25))</f>
        <v>2.9631166415172205</v>
      </c>
      <c r="K27" s="262">
        <f>(ABS(L20)+ABS(L22)+ABS(L23)+ABS(L24)+ABS(L25))/(ABS(J20)+ABS(J22)+ABS(J23)+ABS(J24)+ABS(J25))</f>
        <v>3.0201489110690698</v>
      </c>
      <c r="O27" s="262">
        <f>(ABS(P20)+ABS(P22)+ABS(P23)+ABS(P24)+ABS(P25))/(ABS(N20)+ABS(N22)+ABS(N23)+ABS(N24)+ABS(N25))</f>
        <v>2.9589485991274169</v>
      </c>
    </row>
    <row r="29" spans="1:21">
      <c r="O29" s="291"/>
    </row>
    <row r="30" spans="1:21">
      <c r="L30" s="979" t="s">
        <v>1025</v>
      </c>
    </row>
    <row r="32" spans="1:21">
      <c r="S32" s="290"/>
      <c r="T32" s="290"/>
      <c r="U32" s="290"/>
    </row>
    <row r="33" spans="1:18">
      <c r="A33" s="286"/>
      <c r="B33" s="286"/>
      <c r="C33" s="286"/>
      <c r="D33" s="286"/>
      <c r="E33" s="286"/>
      <c r="F33" s="286"/>
      <c r="G33" s="286"/>
      <c r="H33" s="286"/>
      <c r="I33" s="286"/>
      <c r="J33" s="288"/>
      <c r="K33" s="286"/>
      <c r="L33" s="288"/>
      <c r="M33" s="286"/>
      <c r="N33" s="288"/>
      <c r="O33" s="286"/>
      <c r="P33" s="288"/>
      <c r="Q33" s="286"/>
      <c r="R33" s="286"/>
    </row>
    <row r="34" spans="1:18">
      <c r="A34" s="286"/>
      <c r="B34" s="288"/>
      <c r="C34" s="289"/>
      <c r="D34" s="288"/>
      <c r="E34" s="286"/>
      <c r="F34" s="288"/>
      <c r="G34" s="289"/>
      <c r="H34" s="288"/>
      <c r="I34" s="286"/>
      <c r="J34" s="288"/>
      <c r="K34" s="289"/>
      <c r="L34" s="288"/>
      <c r="M34" s="286"/>
      <c r="N34" s="288"/>
      <c r="O34" s="286"/>
      <c r="P34" s="287"/>
      <c r="Q34" s="286"/>
      <c r="R34" s="286"/>
    </row>
    <row r="35" spans="1:18">
      <c r="A35" s="285"/>
      <c r="B35" s="285"/>
      <c r="C35" s="285"/>
      <c r="D35" s="285"/>
      <c r="E35" s="285"/>
      <c r="F35" s="285"/>
      <c r="G35" s="285"/>
      <c r="H35" s="285"/>
      <c r="I35" s="285"/>
      <c r="J35" s="285"/>
      <c r="K35" s="285"/>
      <c r="L35" s="285"/>
      <c r="M35" s="285"/>
      <c r="N35" s="285"/>
      <c r="O35" s="285"/>
      <c r="P35" s="22" t="s">
        <v>430</v>
      </c>
      <c r="Q35" s="285"/>
      <c r="R35" s="285"/>
    </row>
    <row r="36" spans="1:18">
      <c r="P36" s="22" t="s">
        <v>55</v>
      </c>
    </row>
    <row r="37" spans="1:18">
      <c r="A37" s="284" t="s">
        <v>429</v>
      </c>
      <c r="B37" s="284"/>
      <c r="C37" s="284"/>
      <c r="D37" s="284"/>
      <c r="E37" s="284"/>
      <c r="F37" s="284"/>
      <c r="G37" s="284"/>
      <c r="H37" s="284"/>
      <c r="I37" s="284"/>
      <c r="J37" s="284"/>
      <c r="K37" s="284"/>
      <c r="L37" s="284"/>
      <c r="M37" s="284"/>
      <c r="N37" s="284"/>
      <c r="O37" s="284"/>
    </row>
    <row r="38" spans="1:18">
      <c r="A38" s="284" t="s">
        <v>428</v>
      </c>
      <c r="B38" s="284"/>
      <c r="C38" s="284"/>
      <c r="D38" s="284"/>
      <c r="E38" s="284"/>
      <c r="F38" s="284"/>
      <c r="G38" s="284"/>
      <c r="H38" s="284"/>
      <c r="I38" s="284"/>
      <c r="J38" s="284"/>
      <c r="K38" s="284"/>
      <c r="L38" s="284"/>
      <c r="M38" s="284"/>
      <c r="N38" s="284"/>
      <c r="O38" s="284"/>
      <c r="P38" s="284"/>
    </row>
    <row r="39" spans="1:18">
      <c r="A39" s="284" t="str">
        <f>(A6)</f>
        <v>For the Quarter ending  January 31, 2016</v>
      </c>
      <c r="B39" s="284"/>
      <c r="C39" s="284"/>
      <c r="D39" s="284"/>
      <c r="E39" s="284"/>
      <c r="F39" s="284"/>
      <c r="G39" s="284"/>
      <c r="H39" s="284"/>
      <c r="I39" s="284"/>
      <c r="J39" s="284"/>
      <c r="K39" s="284"/>
      <c r="L39" s="284"/>
      <c r="M39" s="284"/>
      <c r="N39" s="284"/>
      <c r="O39" s="284"/>
      <c r="P39" s="284"/>
    </row>
    <row r="40" spans="1:18">
      <c r="A40" s="283"/>
    </row>
    <row r="42" spans="1:18">
      <c r="B42" s="281">
        <f>(B9)</f>
        <v>42309</v>
      </c>
      <c r="C42" s="281"/>
      <c r="D42" s="281"/>
      <c r="E42" s="282"/>
      <c r="F42" s="281">
        <f>(F9)</f>
        <v>42339</v>
      </c>
      <c r="G42" s="281"/>
      <c r="H42" s="281"/>
      <c r="I42" s="282"/>
      <c r="J42" s="281">
        <f>(J9)</f>
        <v>42370</v>
      </c>
      <c r="K42" s="281"/>
      <c r="L42" s="281"/>
      <c r="N42" s="280" t="str">
        <f>(N9)</f>
        <v xml:space="preserve">                                     Total</v>
      </c>
      <c r="O42" s="280"/>
      <c r="P42" s="280"/>
    </row>
    <row r="43" spans="1:18">
      <c r="B43" s="279" t="s">
        <v>373</v>
      </c>
      <c r="C43" s="279" t="s">
        <v>246</v>
      </c>
      <c r="D43" s="279" t="s">
        <v>427</v>
      </c>
      <c r="F43" s="279" t="s">
        <v>373</v>
      </c>
      <c r="G43" s="279" t="s">
        <v>246</v>
      </c>
      <c r="H43" s="279" t="s">
        <v>427</v>
      </c>
      <c r="J43" s="279" t="s">
        <v>373</v>
      </c>
      <c r="K43" s="279" t="s">
        <v>246</v>
      </c>
      <c r="L43" s="279" t="s">
        <v>427</v>
      </c>
      <c r="N43" s="279" t="s">
        <v>373</v>
      </c>
      <c r="O43" s="279" t="s">
        <v>246</v>
      </c>
      <c r="P43" s="279" t="s">
        <v>427</v>
      </c>
    </row>
    <row r="44" spans="1:18" ht="15">
      <c r="A44" s="22" t="s">
        <v>288</v>
      </c>
      <c r="B44" s="272"/>
      <c r="C44" s="273"/>
      <c r="D44" s="273"/>
      <c r="E44" s="273"/>
      <c r="F44" s="272"/>
      <c r="G44" s="273"/>
      <c r="H44" s="273"/>
      <c r="I44" s="273"/>
      <c r="J44" s="272"/>
      <c r="K44" s="273"/>
      <c r="L44" s="273"/>
      <c r="N44" s="275"/>
      <c r="O44" s="273"/>
      <c r="P44" s="273"/>
    </row>
    <row r="45" spans="1:18" ht="15">
      <c r="A45" s="22" t="s">
        <v>426</v>
      </c>
      <c r="B45" s="272"/>
      <c r="C45" s="273"/>
      <c r="D45" s="273"/>
      <c r="E45" s="273"/>
      <c r="F45" s="272"/>
      <c r="G45" s="273"/>
      <c r="H45" s="273"/>
      <c r="I45" s="273"/>
      <c r="J45" s="272"/>
      <c r="K45" s="273"/>
      <c r="L45" s="273"/>
      <c r="N45" s="275"/>
      <c r="O45" s="273"/>
      <c r="P45" s="273"/>
    </row>
    <row r="46" spans="1:18" ht="15">
      <c r="A46" s="22" t="s">
        <v>276</v>
      </c>
      <c r="B46" s="272"/>
      <c r="C46" s="273"/>
      <c r="D46" s="273"/>
      <c r="E46" s="273"/>
      <c r="F46" s="272"/>
      <c r="G46" s="273"/>
      <c r="H46" s="273"/>
      <c r="I46" s="273"/>
      <c r="J46" s="272"/>
      <c r="K46" s="273"/>
      <c r="L46" s="273"/>
      <c r="N46" s="275"/>
      <c r="O46" s="273"/>
      <c r="P46" s="273"/>
    </row>
    <row r="47" spans="1:18" ht="15">
      <c r="A47" s="22" t="s">
        <v>425</v>
      </c>
      <c r="B47" s="272"/>
      <c r="C47" s="273"/>
      <c r="D47" s="273"/>
      <c r="E47" s="273"/>
      <c r="F47" s="272"/>
      <c r="G47" s="273"/>
      <c r="H47" s="273"/>
      <c r="I47" s="273"/>
      <c r="J47" s="272"/>
      <c r="K47" s="273"/>
      <c r="L47" s="273"/>
      <c r="N47" s="275"/>
      <c r="O47" s="273"/>
      <c r="P47" s="273"/>
    </row>
    <row r="48" spans="1:18" ht="15">
      <c r="A48" s="22" t="s">
        <v>424</v>
      </c>
      <c r="B48" s="272"/>
      <c r="C48" s="273"/>
      <c r="D48" s="273"/>
      <c r="E48" s="273"/>
      <c r="F48" s="272"/>
      <c r="G48" s="273"/>
      <c r="H48" s="273"/>
      <c r="I48" s="273"/>
      <c r="J48" s="272"/>
      <c r="K48" s="273"/>
      <c r="L48" s="273"/>
      <c r="N48" s="275"/>
      <c r="O48" s="273"/>
      <c r="P48" s="273"/>
    </row>
    <row r="49" spans="1:16" ht="15">
      <c r="A49" s="22" t="s">
        <v>423</v>
      </c>
      <c r="B49" s="272"/>
      <c r="C49" s="273"/>
      <c r="D49" s="273"/>
      <c r="E49" s="273"/>
      <c r="F49" s="272"/>
      <c r="G49" s="273"/>
      <c r="H49" s="273"/>
      <c r="I49" s="273"/>
      <c r="J49" s="272"/>
      <c r="K49" s="273"/>
      <c r="L49" s="273"/>
      <c r="N49" s="275"/>
      <c r="O49" s="273"/>
      <c r="P49" s="273"/>
    </row>
    <row r="50" spans="1:16" ht="16.5">
      <c r="A50" s="22" t="s">
        <v>380</v>
      </c>
      <c r="B50" s="278"/>
      <c r="C50" s="273"/>
      <c r="D50" s="273"/>
      <c r="E50" s="273"/>
      <c r="F50" s="278"/>
      <c r="G50" s="273"/>
      <c r="H50" s="273"/>
      <c r="I50" s="273"/>
      <c r="J50" s="278"/>
      <c r="K50" s="273"/>
      <c r="L50" s="273"/>
      <c r="N50" s="277"/>
      <c r="O50" s="273"/>
      <c r="P50" s="273"/>
    </row>
    <row r="51" spans="1:16" ht="15">
      <c r="B51" s="273"/>
      <c r="C51" s="273"/>
      <c r="D51" s="273"/>
      <c r="E51" s="273"/>
      <c r="F51" s="273"/>
      <c r="G51" s="273"/>
      <c r="H51" s="273"/>
      <c r="I51" s="273"/>
      <c r="J51" s="273"/>
      <c r="K51" s="273"/>
      <c r="L51" s="273"/>
      <c r="N51" s="273"/>
      <c r="O51" s="273"/>
      <c r="P51" s="273"/>
    </row>
    <row r="52" spans="1:16" ht="15">
      <c r="B52" s="273"/>
      <c r="C52" s="273"/>
      <c r="D52" s="273"/>
      <c r="E52" s="273"/>
      <c r="F52" s="273"/>
      <c r="G52" s="273"/>
      <c r="H52" s="273"/>
      <c r="I52" s="273"/>
      <c r="J52" s="273"/>
      <c r="K52" s="273"/>
      <c r="L52" s="273"/>
      <c r="N52" s="273"/>
      <c r="O52" s="273"/>
      <c r="P52" s="273"/>
    </row>
    <row r="53" spans="1:16" ht="15">
      <c r="B53" s="272"/>
      <c r="C53" s="266"/>
      <c r="D53" s="276"/>
      <c r="E53" s="273"/>
      <c r="F53" s="272"/>
      <c r="G53" s="266"/>
      <c r="H53" s="276"/>
      <c r="I53" s="273"/>
      <c r="J53" s="272"/>
      <c r="K53" s="266"/>
      <c r="L53" s="276"/>
      <c r="N53" s="275"/>
      <c r="O53" s="266"/>
      <c r="P53" s="271"/>
    </row>
    <row r="54" spans="1:16" ht="15.75">
      <c r="B54" s="272"/>
      <c r="C54" s="268"/>
      <c r="D54" s="274" t="s">
        <v>422</v>
      </c>
      <c r="E54" s="273"/>
      <c r="F54" s="272"/>
      <c r="G54" s="268"/>
      <c r="H54" s="270"/>
      <c r="I54" s="273"/>
      <c r="J54" s="272"/>
      <c r="K54" s="268"/>
      <c r="L54" s="270"/>
      <c r="N54" s="272"/>
      <c r="O54" s="268"/>
      <c r="P54" s="271"/>
    </row>
    <row r="55" spans="1:16" ht="15" hidden="1">
      <c r="A55" s="22" t="s">
        <v>421</v>
      </c>
      <c r="B55" s="264"/>
      <c r="C55" s="268"/>
      <c r="D55" s="270"/>
      <c r="F55" s="264"/>
      <c r="G55" s="268"/>
      <c r="H55" s="270"/>
      <c r="J55" s="264"/>
      <c r="K55" s="268"/>
      <c r="L55" s="270"/>
      <c r="N55" s="264"/>
      <c r="O55" s="266"/>
      <c r="P55" s="269"/>
    </row>
    <row r="56" spans="1:16" ht="15" hidden="1">
      <c r="A56" s="22" t="s">
        <v>420</v>
      </c>
      <c r="B56" s="267"/>
      <c r="C56" s="268"/>
      <c r="D56" s="265"/>
      <c r="F56" s="267"/>
      <c r="G56" s="268"/>
      <c r="H56" s="265"/>
      <c r="J56" s="267"/>
      <c r="K56" s="268"/>
      <c r="L56" s="265"/>
      <c r="N56" s="267"/>
      <c r="O56" s="266"/>
      <c r="P56" s="265"/>
    </row>
    <row r="57" spans="1:16">
      <c r="B57" s="264"/>
      <c r="D57" s="263"/>
      <c r="F57" s="264"/>
      <c r="H57" s="263"/>
      <c r="J57" s="264"/>
      <c r="L57" s="263"/>
      <c r="N57" s="264"/>
      <c r="P57" s="263"/>
    </row>
    <row r="58" spans="1:16" ht="15">
      <c r="A58" s="22" t="s">
        <v>419</v>
      </c>
      <c r="C58" s="262"/>
      <c r="G58" s="262"/>
      <c r="K58" s="262"/>
      <c r="O58" s="262"/>
    </row>
  </sheetData>
  <printOptions horizontalCentered="1"/>
  <pageMargins left="0.23" right="0.26" top="0.71" bottom="0.68" header="0.5" footer="0.35"/>
  <pageSetup scale="70" orientation="landscape" r:id="rId1"/>
  <headerFooter alignWithMargins="0"/>
  <rowBreaks count="1" manualBreakCount="1">
    <brk id="34" max="15" man="1"/>
  </rowBreaks>
  <customProperties>
    <customPr name="_pios_id" r:id="rId2"/>
  </customProperties>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0">
    <pageSetUpPr fitToPage="1"/>
  </sheetPr>
  <dimension ref="A1:M120"/>
  <sheetViews>
    <sheetView showGridLines="0" topLeftCell="A4" zoomScale="80" zoomScaleNormal="80" workbookViewId="0">
      <selection activeCell="E33" sqref="E33"/>
    </sheetView>
  </sheetViews>
  <sheetFormatPr defaultColWidth="9.140625" defaultRowHeight="14.25"/>
  <cols>
    <col min="1" max="1" width="11.140625" style="380" customWidth="1"/>
    <col min="2" max="2" width="16.5703125" style="380" customWidth="1"/>
    <col min="3" max="3" width="17.5703125" style="380" bestFit="1" customWidth="1"/>
    <col min="4" max="4" width="17.5703125" style="380" customWidth="1"/>
    <col min="5" max="5" width="17.42578125" style="380" bestFit="1" customWidth="1"/>
    <col min="6" max="6" width="18.140625" style="380" bestFit="1" customWidth="1"/>
    <col min="7" max="7" width="17.7109375" style="380" customWidth="1"/>
    <col min="8" max="8" width="4.85546875" style="380" customWidth="1"/>
    <col min="9" max="9" width="18.28515625" style="380" bestFit="1" customWidth="1"/>
    <col min="10" max="10" width="23.28515625" style="380" bestFit="1" customWidth="1"/>
    <col min="11" max="11" width="21.140625" style="380" customWidth="1"/>
    <col min="12" max="12" width="17" style="380" customWidth="1"/>
    <col min="13" max="13" width="16.140625" style="380" bestFit="1" customWidth="1"/>
    <col min="14" max="16384" width="9.140625" style="380"/>
  </cols>
  <sheetData>
    <row r="1" spans="1:13" ht="15">
      <c r="A1" s="423" t="s">
        <v>51</v>
      </c>
      <c r="B1" s="420"/>
      <c r="C1" s="420"/>
      <c r="D1" s="420"/>
      <c r="E1" s="420"/>
      <c r="F1" s="420"/>
      <c r="G1" s="420"/>
      <c r="H1" s="420"/>
      <c r="I1" s="385" t="s">
        <v>485</v>
      </c>
      <c r="J1" s="385"/>
      <c r="K1" s="385"/>
    </row>
    <row r="2" spans="1:13">
      <c r="A2" s="1132" t="s">
        <v>484</v>
      </c>
      <c r="B2" s="1132"/>
      <c r="C2" s="1132"/>
      <c r="D2" s="1132"/>
      <c r="E2" s="420"/>
      <c r="F2" s="420"/>
      <c r="G2" s="420"/>
      <c r="H2" s="420"/>
      <c r="I2" s="385" t="s">
        <v>483</v>
      </c>
      <c r="J2" s="385"/>
      <c r="K2" s="385"/>
    </row>
    <row r="3" spans="1:13">
      <c r="A3" s="1131">
        <f>Control!B17</f>
        <v>42186</v>
      </c>
      <c r="B3" s="1131"/>
      <c r="C3" s="1131"/>
      <c r="D3" s="1131"/>
      <c r="E3" s="422"/>
      <c r="F3" s="422"/>
      <c r="G3" s="420"/>
      <c r="H3" s="420"/>
      <c r="I3" s="385"/>
      <c r="J3" s="385"/>
      <c r="K3" s="385"/>
    </row>
    <row r="4" spans="1:13">
      <c r="A4" s="582" t="str">
        <f>Control!B8</f>
        <v>2015-00000</v>
      </c>
      <c r="B4" s="420"/>
      <c r="C4" s="420"/>
      <c r="D4" s="420"/>
      <c r="E4" s="420"/>
      <c r="F4" s="420"/>
      <c r="G4" s="420"/>
      <c r="H4" s="420"/>
      <c r="I4" s="385"/>
      <c r="J4" s="385"/>
      <c r="K4" s="385"/>
    </row>
    <row r="5" spans="1:13">
      <c r="A5" s="420"/>
      <c r="B5" s="420"/>
      <c r="C5" s="420"/>
      <c r="D5" s="421"/>
      <c r="E5" s="420"/>
      <c r="F5" s="420"/>
      <c r="G5" s="420"/>
      <c r="H5" s="420"/>
      <c r="I5" s="385"/>
      <c r="J5" s="385"/>
      <c r="K5" s="385"/>
    </row>
    <row r="6" spans="1:13">
      <c r="D6" s="398"/>
    </row>
    <row r="7" spans="1:13" ht="14.25" customHeight="1">
      <c r="A7" s="385"/>
      <c r="B7" s="381" t="s">
        <v>46</v>
      </c>
      <c r="C7" s="381" t="s">
        <v>45</v>
      </c>
      <c r="D7" s="381" t="s">
        <v>44</v>
      </c>
      <c r="E7" s="381" t="s">
        <v>252</v>
      </c>
      <c r="F7" s="381" t="s">
        <v>251</v>
      </c>
      <c r="G7" s="381" t="s">
        <v>335</v>
      </c>
      <c r="H7" s="381"/>
      <c r="I7" s="381" t="s">
        <v>482</v>
      </c>
      <c r="J7" s="385"/>
      <c r="K7" s="385"/>
    </row>
    <row r="8" spans="1:13" ht="14.25" customHeight="1">
      <c r="A8" s="385"/>
      <c r="B8" s="385"/>
      <c r="C8" s="385"/>
      <c r="D8" s="385"/>
      <c r="E8" s="381" t="s">
        <v>481</v>
      </c>
      <c r="F8" s="381" t="s">
        <v>480</v>
      </c>
      <c r="G8" s="385"/>
      <c r="H8" s="385"/>
      <c r="I8" s="385"/>
      <c r="J8" s="385"/>
      <c r="K8" s="385"/>
    </row>
    <row r="9" spans="1:13" ht="14.25" customHeight="1">
      <c r="A9" s="381" t="s">
        <v>43</v>
      </c>
      <c r="B9" s="385"/>
      <c r="C9" s="381" t="s">
        <v>479</v>
      </c>
      <c r="D9" s="381" t="s">
        <v>478</v>
      </c>
      <c r="E9" s="381" t="s">
        <v>477</v>
      </c>
      <c r="F9" s="381" t="s">
        <v>476</v>
      </c>
      <c r="G9" s="385"/>
      <c r="H9" s="385"/>
      <c r="I9" s="385"/>
      <c r="J9" s="385"/>
      <c r="K9" s="385"/>
    </row>
    <row r="10" spans="1:13" ht="14.25" customHeight="1">
      <c r="A10" s="381" t="s">
        <v>42</v>
      </c>
      <c r="B10" s="381" t="s">
        <v>167</v>
      </c>
      <c r="C10" s="381" t="s">
        <v>475</v>
      </c>
      <c r="D10" s="381" t="s">
        <v>474</v>
      </c>
      <c r="E10" s="381" t="s">
        <v>474</v>
      </c>
      <c r="F10" s="381" t="s">
        <v>473</v>
      </c>
      <c r="G10" s="406" t="s">
        <v>472</v>
      </c>
      <c r="H10" s="381"/>
      <c r="I10" s="381" t="s">
        <v>245</v>
      </c>
      <c r="J10" s="385"/>
      <c r="K10" s="403"/>
    </row>
    <row r="11" spans="1:13" ht="14.25" customHeight="1">
      <c r="A11" s="385"/>
      <c r="B11" s="385"/>
      <c r="C11" s="385"/>
      <c r="D11" s="385"/>
      <c r="E11" s="385"/>
      <c r="F11" s="385"/>
      <c r="G11" s="385"/>
      <c r="H11" s="385"/>
      <c r="I11" s="385"/>
      <c r="J11" s="385"/>
      <c r="K11" s="385"/>
      <c r="L11" s="398"/>
    </row>
    <row r="12" spans="1:13" ht="14.25" customHeight="1">
      <c r="A12" s="381" t="s">
        <v>333</v>
      </c>
      <c r="B12" s="417">
        <f>CF_Month_1</f>
        <v>42125</v>
      </c>
      <c r="C12" s="392">
        <f>D.2!D33</f>
        <v>589500.68999999994</v>
      </c>
      <c r="D12" s="405">
        <f>D.3!D36</f>
        <v>2829673.48</v>
      </c>
      <c r="E12" s="405">
        <f>D.4!L13</f>
        <v>3058271.71</v>
      </c>
      <c r="F12" s="405">
        <f>D12-E12</f>
        <v>-228598.22999999998</v>
      </c>
      <c r="G12" s="816">
        <v>0</v>
      </c>
      <c r="H12" s="416"/>
      <c r="I12" s="405">
        <f>F12+G12</f>
        <v>-228598.22999999998</v>
      </c>
      <c r="J12" s="385"/>
      <c r="K12" s="410"/>
      <c r="L12" s="415"/>
      <c r="M12" s="403"/>
    </row>
    <row r="13" spans="1:13" ht="14.25" customHeight="1">
      <c r="A13" s="381" t="s">
        <v>56</v>
      </c>
      <c r="B13" s="385"/>
      <c r="C13" s="392"/>
      <c r="D13" s="405"/>
      <c r="E13" s="405"/>
      <c r="F13" s="405"/>
      <c r="G13" s="816"/>
      <c r="H13" s="419"/>
      <c r="I13" s="405"/>
      <c r="J13" s="385"/>
      <c r="K13" s="385"/>
    </row>
    <row r="14" spans="1:13" ht="14.25" customHeight="1">
      <c r="A14" s="381" t="s">
        <v>331</v>
      </c>
      <c r="B14" s="417">
        <f>CF_Month_2</f>
        <v>42156</v>
      </c>
      <c r="C14" s="392">
        <f>D.2!F$33</f>
        <v>578230.58000000007</v>
      </c>
      <c r="D14" s="405">
        <f>D.3!F36</f>
        <v>2925871.3900000015</v>
      </c>
      <c r="E14" s="405">
        <f>D.4!L20</f>
        <v>2062134.2999999998</v>
      </c>
      <c r="F14" s="405">
        <f>D14-E14</f>
        <v>863737.09000000171</v>
      </c>
      <c r="G14" s="816">
        <v>0</v>
      </c>
      <c r="H14" s="416"/>
      <c r="I14" s="405">
        <f>F14+G14</f>
        <v>863737.09000000171</v>
      </c>
      <c r="J14" s="385"/>
      <c r="K14" s="410"/>
      <c r="L14" s="415"/>
    </row>
    <row r="15" spans="1:13" ht="14.25" customHeight="1">
      <c r="A15" s="381" t="s">
        <v>330</v>
      </c>
      <c r="B15" s="385"/>
      <c r="C15" s="392"/>
      <c r="D15" s="405"/>
      <c r="E15" s="405"/>
      <c r="F15" s="405"/>
      <c r="G15" s="816"/>
      <c r="H15" s="418"/>
      <c r="I15" s="405"/>
      <c r="J15" s="385"/>
      <c r="K15" s="403"/>
    </row>
    <row r="16" spans="1:13" ht="14.25" customHeight="1">
      <c r="A16" s="381" t="s">
        <v>329</v>
      </c>
      <c r="B16" s="417">
        <f>CF_Month_3</f>
        <v>42186</v>
      </c>
      <c r="C16" s="392">
        <f>D.2!H33</f>
        <v>401943.5</v>
      </c>
      <c r="D16" s="405">
        <f>D.3!H36</f>
        <v>2689152.5699999994</v>
      </c>
      <c r="E16" s="405">
        <f>D.4!L27</f>
        <v>1718648.5399999998</v>
      </c>
      <c r="F16" s="405">
        <f>D16-E16</f>
        <v>970504.02999999956</v>
      </c>
      <c r="G16" s="817">
        <v>0</v>
      </c>
      <c r="H16" s="416"/>
      <c r="I16" s="405">
        <f>F16+G16</f>
        <v>970504.02999999956</v>
      </c>
      <c r="J16" s="385"/>
      <c r="K16" s="410"/>
      <c r="L16" s="415"/>
      <c r="M16" s="398"/>
    </row>
    <row r="17" spans="1:13" ht="14.25" customHeight="1">
      <c r="A17" s="381" t="s">
        <v>328</v>
      </c>
      <c r="B17" s="414"/>
      <c r="C17" s="392"/>
      <c r="D17" s="411" t="s">
        <v>471</v>
      </c>
      <c r="E17" s="411" t="s">
        <v>471</v>
      </c>
      <c r="F17" s="411" t="s">
        <v>471</v>
      </c>
      <c r="G17" s="413"/>
      <c r="H17" s="412"/>
      <c r="I17" s="411" t="s">
        <v>470</v>
      </c>
      <c r="J17" s="385"/>
      <c r="K17" s="410"/>
    </row>
    <row r="18" spans="1:13" ht="14.25" customHeight="1">
      <c r="A18" s="381" t="s">
        <v>327</v>
      </c>
      <c r="B18" s="385" t="s">
        <v>469</v>
      </c>
      <c r="C18" s="385"/>
      <c r="D18" s="403"/>
      <c r="E18" s="403"/>
      <c r="F18" s="403"/>
      <c r="G18" s="403"/>
      <c r="H18" s="403"/>
      <c r="I18" s="403"/>
      <c r="J18" s="385"/>
      <c r="K18" s="385"/>
    </row>
    <row r="19" spans="1:13" ht="14.25" customHeight="1">
      <c r="A19" s="381" t="s">
        <v>325</v>
      </c>
      <c r="B19" s="385" t="s">
        <v>468</v>
      </c>
      <c r="C19" s="385"/>
      <c r="D19" s="409">
        <f>SUM(D12:D17)</f>
        <v>8444697.4400000013</v>
      </c>
      <c r="E19" s="409">
        <f>SUM(E12:E17)</f>
        <v>6839054.5499999998</v>
      </c>
      <c r="F19" s="409">
        <f>SUM(F12:F17)</f>
        <v>1605642.8900000013</v>
      </c>
      <c r="G19" s="409">
        <f>SUM(G12:G17)</f>
        <v>0</v>
      </c>
      <c r="H19" s="409"/>
      <c r="I19" s="409">
        <f>SUM(I12:I17)</f>
        <v>1605642.8900000013</v>
      </c>
      <c r="J19" s="385"/>
      <c r="K19" s="385"/>
      <c r="M19" s="398"/>
    </row>
    <row r="20" spans="1:13" ht="14.25" customHeight="1">
      <c r="A20" s="381" t="s">
        <v>323</v>
      </c>
    </row>
    <row r="21" spans="1:13" ht="14.25" customHeight="1">
      <c r="A21" s="381" t="s">
        <v>321</v>
      </c>
      <c r="B21" s="380" t="s">
        <v>467</v>
      </c>
      <c r="D21" s="408">
        <f>'WP-D.1'!D8</f>
        <v>639010.52999999991</v>
      </c>
      <c r="K21" s="385"/>
    </row>
    <row r="22" spans="1:13" ht="14.25" customHeight="1">
      <c r="A22" s="381" t="s">
        <v>319</v>
      </c>
      <c r="B22" s="385"/>
      <c r="C22" s="385"/>
      <c r="D22" s="385"/>
      <c r="E22" s="392"/>
      <c r="F22" s="392"/>
      <c r="G22" s="392"/>
      <c r="H22" s="392"/>
      <c r="I22" s="392"/>
      <c r="J22" s="385"/>
      <c r="K22" s="385"/>
    </row>
    <row r="23" spans="1:13" ht="14.25" customHeight="1">
      <c r="A23" s="381" t="s">
        <v>318</v>
      </c>
      <c r="B23" s="400" t="s">
        <v>464</v>
      </c>
      <c r="C23" s="385"/>
      <c r="D23" s="385"/>
      <c r="E23" s="392"/>
      <c r="F23" s="392"/>
      <c r="G23" s="392"/>
      <c r="H23" s="392"/>
      <c r="I23" s="392"/>
      <c r="J23" s="407"/>
    </row>
    <row r="24" spans="1:13" ht="14.25" customHeight="1">
      <c r="A24" s="381" t="s">
        <v>317</v>
      </c>
      <c r="B24" s="455" t="str">
        <f>CONCATENATE("(Over)/Under Recovered Gas Cost through ",TEXT(Control!C17,"MMMM YYYY")," (",TEXT(Control!C21,"MMMM YYYY")," GL)")</f>
        <v>(Over)/Under Recovered Gas Cost through April 2015 (May 2015 GL)</v>
      </c>
      <c r="C24" s="385"/>
      <c r="D24" s="385"/>
      <c r="E24" s="385"/>
      <c r="F24" s="385"/>
      <c r="G24" s="1049">
        <v>-13323022.77</v>
      </c>
      <c r="H24" s="385"/>
      <c r="K24" s="406"/>
    </row>
    <row r="25" spans="1:13" ht="14.25" customHeight="1">
      <c r="A25" s="381" t="s">
        <v>315</v>
      </c>
      <c r="B25" s="385" t="str">
        <f>CONCATENATE("Total Gas Cost Under/(Over) Recovery for the three months ended ",TEXT(CF_Month_3,"mmmm yyyy"))</f>
        <v>Total Gas Cost Under/(Over) Recovery for the three months ended July 2015</v>
      </c>
      <c r="C25" s="385"/>
      <c r="D25" s="385"/>
      <c r="E25" s="385"/>
      <c r="F25" s="385"/>
      <c r="G25" s="465">
        <f>I19</f>
        <v>1605642.8900000013</v>
      </c>
      <c r="H25" s="385"/>
      <c r="J25" s="385"/>
      <c r="K25" s="403"/>
    </row>
    <row r="26" spans="1:13" ht="14.25" customHeight="1">
      <c r="A26" s="381" t="s">
        <v>313</v>
      </c>
      <c r="B26" s="385" t="s">
        <v>466</v>
      </c>
      <c r="C26" s="385"/>
      <c r="D26" s="385"/>
      <c r="E26" s="392"/>
      <c r="F26" s="392"/>
      <c r="G26" s="940">
        <f>-D.4!F30</f>
        <v>-287842.7</v>
      </c>
      <c r="H26" s="392"/>
      <c r="J26" s="405"/>
    </row>
    <row r="27" spans="1:13" ht="14.25" customHeight="1">
      <c r="A27" s="381" t="s">
        <v>311</v>
      </c>
      <c r="B27" s="864" t="s">
        <v>981</v>
      </c>
      <c r="C27" s="385"/>
      <c r="D27" s="385"/>
      <c r="E27" s="392"/>
      <c r="F27" s="392"/>
      <c r="G27" s="1050">
        <v>0</v>
      </c>
      <c r="H27" s="464"/>
      <c r="J27" s="405"/>
    </row>
    <row r="28" spans="1:13" ht="14.25" customHeight="1">
      <c r="A28" s="381" t="s">
        <v>309</v>
      </c>
      <c r="B28" s="385" t="str">
        <f>CONCATENATE("(Over)/Under Recovered Gas Cost through ",TEXT(CF_Month_3,"MMMM YYYY")," (",TEXT(Month3,"MMMM YYYY")," GL) (a)")</f>
        <v>(Over)/Under Recovered Gas Cost through July 2015 (August 2015 GL) (a)</v>
      </c>
      <c r="C28" s="385"/>
      <c r="D28" s="385"/>
      <c r="E28" s="392"/>
      <c r="F28" s="392"/>
      <c r="G28" s="393">
        <f>SUM(G24:G27)</f>
        <v>-12005222.579999998</v>
      </c>
      <c r="H28" s="392"/>
      <c r="I28" s="388"/>
      <c r="J28" s="398"/>
    </row>
    <row r="29" spans="1:13" ht="14.25" customHeight="1">
      <c r="A29" s="381" t="s">
        <v>307</v>
      </c>
      <c r="B29" s="385" t="s">
        <v>462</v>
      </c>
      <c r="C29" s="385"/>
      <c r="D29" s="392"/>
      <c r="E29" s="385"/>
      <c r="F29" s="385"/>
      <c r="G29" s="464">
        <f>B.6!$E$26+B.6!$E$30</f>
        <v>16849112</v>
      </c>
      <c r="H29" s="392" t="s">
        <v>465</v>
      </c>
      <c r="J29" s="403"/>
      <c r="K29" s="401"/>
    </row>
    <row r="30" spans="1:13" ht="14.25" customHeight="1">
      <c r="A30" s="381" t="s">
        <v>304</v>
      </c>
      <c r="B30" s="385"/>
      <c r="C30" s="385"/>
      <c r="D30" s="392"/>
      <c r="E30" s="385"/>
      <c r="F30" s="385"/>
      <c r="G30" s="464"/>
      <c r="K30" s="401"/>
      <c r="M30" s="398"/>
    </row>
    <row r="31" spans="1:13" ht="14.25" customHeight="1">
      <c r="A31" s="381" t="s">
        <v>303</v>
      </c>
      <c r="B31" s="380" t="s">
        <v>464</v>
      </c>
      <c r="G31" s="941">
        <f>ROUND(G28/G29,4)</f>
        <v>-0.71250000000000002</v>
      </c>
      <c r="H31" s="380" t="s">
        <v>460</v>
      </c>
      <c r="K31" s="388"/>
    </row>
    <row r="32" spans="1:13" ht="14.25" customHeight="1">
      <c r="A32" s="381" t="s">
        <v>302</v>
      </c>
      <c r="B32" s="402"/>
      <c r="G32" s="942"/>
      <c r="K32" s="401"/>
    </row>
    <row r="33" spans="1:11" ht="14.25" customHeight="1">
      <c r="A33" s="381" t="s">
        <v>301</v>
      </c>
      <c r="B33" s="400" t="s">
        <v>463</v>
      </c>
      <c r="G33" s="942"/>
      <c r="J33" s="397"/>
    </row>
    <row r="34" spans="1:11" ht="14.25" customHeight="1">
      <c r="A34" s="381" t="s">
        <v>266</v>
      </c>
      <c r="B34" s="385" t="s">
        <v>1156</v>
      </c>
      <c r="C34" s="385"/>
      <c r="D34" s="385"/>
      <c r="E34" s="385"/>
      <c r="F34" s="385"/>
      <c r="G34" s="399">
        <f>D.6!J18</f>
        <v>1066833.7999999998</v>
      </c>
      <c r="H34" s="385"/>
      <c r="J34" s="398"/>
    </row>
    <row r="35" spans="1:11" ht="14.25" customHeight="1">
      <c r="A35" s="381" t="s">
        <v>299</v>
      </c>
      <c r="B35" s="385" t="s">
        <v>462</v>
      </c>
      <c r="G35" s="464">
        <f>G29</f>
        <v>16849112</v>
      </c>
      <c r="H35" s="385"/>
    </row>
    <row r="36" spans="1:11" ht="14.25" customHeight="1">
      <c r="A36" s="381" t="s">
        <v>298</v>
      </c>
      <c r="B36" s="385"/>
      <c r="C36" s="385"/>
      <c r="D36" s="385"/>
      <c r="E36" s="385"/>
      <c r="F36" s="385"/>
      <c r="G36" s="433"/>
      <c r="H36" s="385"/>
      <c r="J36" s="394"/>
      <c r="K36" s="397"/>
    </row>
    <row r="37" spans="1:11" ht="14.25" customHeight="1">
      <c r="A37" s="381" t="s">
        <v>296</v>
      </c>
      <c r="B37" s="380" t="s">
        <v>463</v>
      </c>
      <c r="G37" s="943">
        <f>ROUND(G34/G35,4)</f>
        <v>6.3299999999999995E-2</v>
      </c>
      <c r="H37" s="380" t="s">
        <v>460</v>
      </c>
      <c r="K37" s="396"/>
    </row>
    <row r="38" spans="1:11" ht="14.25" customHeight="1">
      <c r="A38" s="381" t="s">
        <v>295</v>
      </c>
      <c r="G38" s="941"/>
    </row>
    <row r="39" spans="1:11" ht="14.25" customHeight="1">
      <c r="A39" s="381" t="s">
        <v>293</v>
      </c>
      <c r="B39" s="395" t="s">
        <v>461</v>
      </c>
      <c r="G39" s="941"/>
      <c r="J39" s="398"/>
      <c r="K39" s="394"/>
    </row>
    <row r="40" spans="1:11" ht="14.25" customHeight="1">
      <c r="A40" s="381" t="s">
        <v>289</v>
      </c>
      <c r="B40" s="380" t="str">
        <f>CONCATENATE("Total Deferred Balance through ",TEXT(CF_Month_3,"mmmm yyyy")," (",TEXT(Month3,"mmmm yyyy")," GL) including Net Uncol Gas Cost")</f>
        <v>Total Deferred Balance through July 2015 (August 2015 GL) including Net Uncol Gas Cost</v>
      </c>
      <c r="G40" s="393">
        <f>G28+G34</f>
        <v>-10938388.779999997</v>
      </c>
      <c r="I40" s="388"/>
      <c r="J40" s="398"/>
    </row>
    <row r="41" spans="1:11" ht="14.25" customHeight="1">
      <c r="A41" s="381" t="s">
        <v>284</v>
      </c>
      <c r="B41" s="385" t="s">
        <v>462</v>
      </c>
      <c r="G41" s="464">
        <f>G29</f>
        <v>16849112</v>
      </c>
      <c r="J41" s="398"/>
    </row>
    <row r="42" spans="1:11" ht="14.25" customHeight="1">
      <c r="A42" s="381" t="s">
        <v>283</v>
      </c>
      <c r="B42" s="390"/>
      <c r="C42" s="390"/>
      <c r="D42" s="390"/>
      <c r="E42" s="390"/>
      <c r="F42" s="391"/>
      <c r="G42" s="944"/>
      <c r="H42" s="387"/>
    </row>
    <row r="43" spans="1:11" ht="14.25" customHeight="1" thickBot="1">
      <c r="A43" s="381">
        <v>32</v>
      </c>
      <c r="B43" s="383" t="s">
        <v>461</v>
      </c>
      <c r="C43" s="383"/>
      <c r="D43" s="383"/>
      <c r="E43" s="383"/>
      <c r="F43" s="383"/>
      <c r="G43" s="945">
        <f>G31+G37</f>
        <v>-0.6492</v>
      </c>
      <c r="H43" s="380" t="s">
        <v>460</v>
      </c>
      <c r="J43" s="389"/>
    </row>
    <row r="44" spans="1:11" ht="14.25" customHeight="1" thickTop="1">
      <c r="A44" s="381">
        <v>33</v>
      </c>
    </row>
    <row r="45" spans="1:11" ht="14.25" customHeight="1">
      <c r="A45" s="381"/>
      <c r="G45" s="388"/>
      <c r="I45" s="383"/>
    </row>
    <row r="46" spans="1:11">
      <c r="A46" s="381"/>
    </row>
    <row r="47" spans="1:11">
      <c r="A47" s="381"/>
      <c r="B47" s="386"/>
      <c r="C47" s="386"/>
      <c r="D47" s="386"/>
      <c r="E47" s="386"/>
      <c r="F47" s="386"/>
      <c r="G47" s="387"/>
      <c r="H47" s="386"/>
    </row>
    <row r="48" spans="1:11">
      <c r="A48" s="381"/>
      <c r="I48" s="385"/>
    </row>
    <row r="49" spans="1:9">
      <c r="A49" s="381"/>
    </row>
    <row r="50" spans="1:9">
      <c r="A50" s="381"/>
    </row>
    <row r="51" spans="1:9">
      <c r="A51" s="381"/>
    </row>
    <row r="52" spans="1:9" ht="15">
      <c r="A52" s="381"/>
      <c r="H52" s="384"/>
      <c r="I52" s="383"/>
    </row>
    <row r="53" spans="1:9">
      <c r="A53" s="381"/>
      <c r="D53" s="382"/>
    </row>
    <row r="54" spans="1:9">
      <c r="A54" s="381"/>
    </row>
    <row r="55" spans="1:9">
      <c r="A55" s="381"/>
    </row>
    <row r="56" spans="1:9">
      <c r="A56" s="381"/>
    </row>
    <row r="57" spans="1:9">
      <c r="A57" s="381"/>
    </row>
    <row r="58" spans="1:9">
      <c r="A58" s="381"/>
    </row>
    <row r="59" spans="1:9">
      <c r="A59" s="381"/>
    </row>
    <row r="60" spans="1:9">
      <c r="A60" s="381"/>
    </row>
    <row r="61" spans="1:9">
      <c r="A61" s="381"/>
    </row>
    <row r="62" spans="1:9">
      <c r="A62" s="381"/>
    </row>
    <row r="63" spans="1:9">
      <c r="A63" s="381" t="str">
        <f>A1</f>
        <v>Atmos Energy Corporation</v>
      </c>
    </row>
    <row r="64" spans="1:9">
      <c r="A64" s="381"/>
    </row>
    <row r="65" spans="1:1">
      <c r="A65" s="381"/>
    </row>
    <row r="66" spans="1:1">
      <c r="A66" s="381"/>
    </row>
    <row r="67" spans="1:1">
      <c r="A67" s="381"/>
    </row>
    <row r="68" spans="1:1">
      <c r="A68" s="381"/>
    </row>
    <row r="69" spans="1:1">
      <c r="A69" s="381"/>
    </row>
    <row r="70" spans="1:1">
      <c r="A70" s="381"/>
    </row>
    <row r="71" spans="1:1">
      <c r="A71" s="381"/>
    </row>
    <row r="72" spans="1:1">
      <c r="A72" s="381"/>
    </row>
    <row r="73" spans="1:1">
      <c r="A73" s="381"/>
    </row>
    <row r="74" spans="1:1">
      <c r="A74" s="381"/>
    </row>
    <row r="75" spans="1:1">
      <c r="A75" s="381"/>
    </row>
    <row r="76" spans="1:1">
      <c r="A76" s="381"/>
    </row>
    <row r="77" spans="1:1">
      <c r="A77" s="381"/>
    </row>
    <row r="78" spans="1:1">
      <c r="A78" s="381"/>
    </row>
    <row r="79" spans="1:1">
      <c r="A79" s="381"/>
    </row>
    <row r="80" spans="1:1">
      <c r="A80" s="381"/>
    </row>
    <row r="81" spans="1:1">
      <c r="A81" s="381"/>
    </row>
    <row r="82" spans="1:1">
      <c r="A82" s="381"/>
    </row>
    <row r="83" spans="1:1">
      <c r="A83" s="381"/>
    </row>
    <row r="84" spans="1:1">
      <c r="A84" s="381"/>
    </row>
    <row r="85" spans="1:1">
      <c r="A85" s="381"/>
    </row>
    <row r="86" spans="1:1">
      <c r="A86" s="381"/>
    </row>
    <row r="87" spans="1:1">
      <c r="A87" s="381"/>
    </row>
    <row r="88" spans="1:1">
      <c r="A88" s="381"/>
    </row>
    <row r="89" spans="1:1">
      <c r="A89" s="381"/>
    </row>
    <row r="90" spans="1:1">
      <c r="A90" s="381"/>
    </row>
    <row r="91" spans="1:1">
      <c r="A91" s="381"/>
    </row>
    <row r="92" spans="1:1">
      <c r="A92" s="381"/>
    </row>
    <row r="93" spans="1:1">
      <c r="A93" s="381"/>
    </row>
    <row r="94" spans="1:1">
      <c r="A94" s="381"/>
    </row>
    <row r="95" spans="1:1">
      <c r="A95" s="381"/>
    </row>
    <row r="96" spans="1:1">
      <c r="A96" s="381"/>
    </row>
    <row r="97" spans="1:1">
      <c r="A97" s="381"/>
    </row>
    <row r="98" spans="1:1">
      <c r="A98" s="381"/>
    </row>
    <row r="99" spans="1:1">
      <c r="A99" s="381"/>
    </row>
    <row r="100" spans="1:1">
      <c r="A100" s="381"/>
    </row>
    <row r="101" spans="1:1">
      <c r="A101" s="381"/>
    </row>
    <row r="102" spans="1:1">
      <c r="A102" s="381"/>
    </row>
    <row r="103" spans="1:1">
      <c r="A103" s="381"/>
    </row>
    <row r="104" spans="1:1">
      <c r="A104" s="381"/>
    </row>
    <row r="105" spans="1:1">
      <c r="A105" s="381"/>
    </row>
    <row r="106" spans="1:1">
      <c r="A106" s="381"/>
    </row>
    <row r="107" spans="1:1">
      <c r="A107" s="381"/>
    </row>
    <row r="108" spans="1:1">
      <c r="A108" s="381"/>
    </row>
    <row r="109" spans="1:1">
      <c r="A109" s="381"/>
    </row>
    <row r="110" spans="1:1">
      <c r="A110" s="381"/>
    </row>
    <row r="111" spans="1:1">
      <c r="A111" s="381"/>
    </row>
    <row r="112" spans="1:1">
      <c r="A112" s="381"/>
    </row>
    <row r="113" spans="1:1">
      <c r="A113" s="381"/>
    </row>
    <row r="114" spans="1:1">
      <c r="A114" s="381"/>
    </row>
    <row r="115" spans="1:1">
      <c r="A115" s="381"/>
    </row>
    <row r="116" spans="1:1">
      <c r="A116" s="381"/>
    </row>
    <row r="117" spans="1:1">
      <c r="A117" s="381"/>
    </row>
    <row r="118" spans="1:1">
      <c r="A118" s="381"/>
    </row>
    <row r="119" spans="1:1">
      <c r="A119" s="381"/>
    </row>
    <row r="120" spans="1:1">
      <c r="A120" s="381"/>
    </row>
  </sheetData>
  <mergeCells count="2">
    <mergeCell ref="A3:D3"/>
    <mergeCell ref="A2:D2"/>
  </mergeCells>
  <printOptions horizontalCentered="1"/>
  <pageMargins left="0.5" right="0.28000000000000003" top="0.5" bottom="0.5" header="0.5" footer="0.5"/>
  <pageSetup scale="70" orientation="portrait" r:id="rId1"/>
  <headerFooter alignWithMargins="0"/>
  <customProperties>
    <customPr name="_pios_id" r:id="rId2"/>
  </customProperties>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1">
    <pageSetUpPr fitToPage="1"/>
  </sheetPr>
  <dimension ref="A1:AO90"/>
  <sheetViews>
    <sheetView showGridLines="0" zoomScale="80" zoomScaleNormal="80" workbookViewId="0">
      <selection activeCell="E33" sqref="E33"/>
    </sheetView>
  </sheetViews>
  <sheetFormatPr defaultColWidth="12.5703125" defaultRowHeight="14.25"/>
  <cols>
    <col min="1" max="1" width="6.140625" style="380" customWidth="1"/>
    <col min="2" max="2" width="35.7109375" style="380" customWidth="1"/>
    <col min="3" max="3" width="6.140625" style="380" customWidth="1"/>
    <col min="4" max="4" width="17" style="380" customWidth="1"/>
    <col min="5" max="5" width="2.28515625" style="380" customWidth="1"/>
    <col min="6" max="6" width="16.42578125" style="380" customWidth="1"/>
    <col min="7" max="7" width="2.28515625" style="380" customWidth="1"/>
    <col min="8" max="8" width="16.42578125" style="380" customWidth="1"/>
    <col min="9" max="9" width="2.28515625" style="380" customWidth="1"/>
    <col min="10" max="10" width="16.42578125" style="380" customWidth="1"/>
    <col min="11" max="11" width="2.28515625" style="380" customWidth="1"/>
    <col min="12" max="15" width="13.85546875" style="380" customWidth="1"/>
    <col min="16" max="16384" width="12.5703125" style="380"/>
  </cols>
  <sheetData>
    <row r="1" spans="1:41" ht="15">
      <c r="A1" s="452" t="s">
        <v>51</v>
      </c>
      <c r="B1" s="385"/>
      <c r="C1" s="385"/>
      <c r="D1" s="385"/>
      <c r="E1" s="385"/>
      <c r="F1" s="385"/>
      <c r="G1" s="385"/>
      <c r="H1" s="385" t="s">
        <v>485</v>
      </c>
      <c r="I1" s="385"/>
      <c r="K1" s="385"/>
      <c r="M1" s="385"/>
      <c r="N1" s="385"/>
      <c r="O1" s="385"/>
      <c r="P1" s="385"/>
    </row>
    <row r="2" spans="1:41">
      <c r="A2" s="451" t="s">
        <v>513</v>
      </c>
      <c r="B2" s="385"/>
      <c r="C2" s="385"/>
      <c r="D2" s="385"/>
      <c r="E2" s="385"/>
      <c r="F2" s="385"/>
      <c r="G2" s="385"/>
      <c r="H2" s="385" t="s">
        <v>512</v>
      </c>
      <c r="I2" s="385"/>
      <c r="K2" s="385"/>
      <c r="M2" s="385"/>
      <c r="N2" s="385"/>
      <c r="O2" s="385"/>
      <c r="P2" s="385"/>
    </row>
    <row r="3" spans="1:41">
      <c r="A3" s="1131">
        <f>D.1!A3:D3</f>
        <v>42186</v>
      </c>
      <c r="B3" s="1131"/>
      <c r="C3" s="1131"/>
      <c r="D3" s="1131"/>
      <c r="E3" s="385"/>
      <c r="F3" s="385"/>
      <c r="G3" s="385"/>
      <c r="H3" s="385"/>
      <c r="I3" s="385"/>
      <c r="J3" s="385"/>
      <c r="K3" s="385"/>
      <c r="L3" s="385"/>
      <c r="M3" s="385"/>
      <c r="N3" s="385"/>
      <c r="O3" s="385"/>
      <c r="P3" s="385"/>
    </row>
    <row r="4" spans="1:41">
      <c r="A4" s="451" t="str">
        <f>D.1!A4</f>
        <v>2015-00000</v>
      </c>
      <c r="B4" s="385"/>
      <c r="C4" s="385"/>
      <c r="D4" s="385"/>
      <c r="E4" s="385"/>
      <c r="F4" s="385"/>
      <c r="G4" s="385"/>
      <c r="H4" s="385"/>
      <c r="I4" s="385"/>
      <c r="J4" s="385"/>
      <c r="K4" s="385"/>
      <c r="L4" s="385"/>
      <c r="M4" s="385"/>
      <c r="N4" s="385"/>
      <c r="O4" s="385"/>
      <c r="P4" s="385"/>
    </row>
    <row r="5" spans="1:41" ht="15">
      <c r="A5" s="451"/>
      <c r="B5" s="385"/>
      <c r="C5" s="385" t="s">
        <v>511</v>
      </c>
      <c r="D5" s="450">
        <f>Month1</f>
        <v>42156</v>
      </c>
      <c r="E5" s="390"/>
      <c r="F5" s="450">
        <f>Month2</f>
        <v>42186</v>
      </c>
      <c r="G5" s="390"/>
      <c r="H5" s="450">
        <f>Month3</f>
        <v>42217</v>
      </c>
      <c r="I5" s="385"/>
      <c r="J5" s="429"/>
      <c r="K5" s="385"/>
      <c r="L5" s="385"/>
      <c r="M5" s="385"/>
      <c r="N5" s="385"/>
      <c r="O5" s="385"/>
      <c r="P5" s="385"/>
    </row>
    <row r="6" spans="1:41" ht="15">
      <c r="A6" s="385"/>
      <c r="B6" s="385"/>
      <c r="C6" s="385"/>
      <c r="D6" s="385"/>
      <c r="E6" s="385"/>
      <c r="F6" s="385"/>
      <c r="G6" s="385"/>
      <c r="H6" s="385"/>
      <c r="I6" s="385"/>
      <c r="J6" s="429"/>
      <c r="K6" s="385"/>
      <c r="L6" s="385"/>
      <c r="M6" s="385"/>
      <c r="N6" s="385"/>
      <c r="O6" s="385"/>
      <c r="P6" s="385"/>
    </row>
    <row r="7" spans="1:41" ht="15">
      <c r="A7" s="385"/>
      <c r="B7" s="385"/>
      <c r="C7" s="385"/>
      <c r="D7" s="381" t="s">
        <v>46</v>
      </c>
      <c r="F7" s="381" t="s">
        <v>45</v>
      </c>
      <c r="G7" s="392"/>
      <c r="H7" s="381" t="s">
        <v>44</v>
      </c>
      <c r="I7" s="385"/>
      <c r="J7" s="429"/>
      <c r="K7" s="385"/>
      <c r="L7" s="385"/>
      <c r="M7" s="385"/>
      <c r="N7" s="385"/>
      <c r="O7" s="385"/>
      <c r="P7" s="385"/>
    </row>
    <row r="8" spans="1:41" ht="15">
      <c r="A8" s="381" t="s">
        <v>43</v>
      </c>
      <c r="B8" s="385"/>
      <c r="C8" s="385"/>
      <c r="D8" s="449" t="s">
        <v>167</v>
      </c>
      <c r="E8" s="449"/>
      <c r="F8" s="449"/>
      <c r="G8" s="449"/>
      <c r="H8" s="449"/>
      <c r="I8" s="449"/>
      <c r="J8" s="429"/>
      <c r="K8" s="385"/>
      <c r="M8" s="448"/>
      <c r="N8" s="448"/>
      <c r="O8" s="448"/>
      <c r="P8" s="385"/>
    </row>
    <row r="9" spans="1:41" ht="15">
      <c r="A9" s="381" t="s">
        <v>42</v>
      </c>
      <c r="B9" s="447" t="s">
        <v>41</v>
      </c>
      <c r="C9" s="385" t="s">
        <v>510</v>
      </c>
      <c r="D9" s="445">
        <f>CF_Month_1</f>
        <v>42125</v>
      </c>
      <c r="E9" s="446"/>
      <c r="F9" s="445">
        <f>CF_Month_2</f>
        <v>42156</v>
      </c>
      <c r="G9" s="446"/>
      <c r="H9" s="445">
        <f>CF_Month_3</f>
        <v>42186</v>
      </c>
      <c r="I9" s="390"/>
      <c r="J9" s="429"/>
      <c r="K9" s="385"/>
      <c r="L9" s="440"/>
      <c r="M9" s="440"/>
      <c r="N9" s="444"/>
      <c r="O9" s="444"/>
      <c r="P9" s="385"/>
    </row>
    <row r="10" spans="1:41" ht="15.75">
      <c r="A10" s="381" t="s">
        <v>333</v>
      </c>
      <c r="B10" s="383" t="s">
        <v>509</v>
      </c>
      <c r="C10" s="385"/>
      <c r="D10" s="392"/>
      <c r="E10" s="385"/>
      <c r="F10" s="385"/>
      <c r="G10" s="385"/>
      <c r="H10" s="385"/>
      <c r="I10" s="385"/>
      <c r="J10" s="429"/>
      <c r="K10" s="385"/>
      <c r="L10" s="440"/>
      <c r="M10" s="440"/>
      <c r="N10" s="385"/>
      <c r="O10" s="385"/>
      <c r="P10" s="385"/>
    </row>
    <row r="11" spans="1:41" ht="15">
      <c r="A11" s="381" t="s">
        <v>56</v>
      </c>
      <c r="B11" s="385" t="s">
        <v>508</v>
      </c>
      <c r="C11" s="385"/>
      <c r="D11" s="392"/>
      <c r="E11" s="385"/>
      <c r="F11" s="385"/>
      <c r="G11" s="385"/>
      <c r="H11" s="385"/>
      <c r="I11" s="385"/>
      <c r="J11" s="429"/>
      <c r="K11" s="385"/>
      <c r="L11" s="440"/>
      <c r="M11" s="439"/>
      <c r="N11" s="385"/>
      <c r="O11" s="385"/>
      <c r="P11" s="385"/>
    </row>
    <row r="12" spans="1:41" ht="16.5">
      <c r="A12" s="381" t="s">
        <v>331</v>
      </c>
      <c r="B12" s="385" t="s">
        <v>507</v>
      </c>
      <c r="C12" s="381" t="s">
        <v>22</v>
      </c>
      <c r="D12" s="437">
        <v>0</v>
      </c>
      <c r="E12" s="436"/>
      <c r="F12" s="437">
        <v>0</v>
      </c>
      <c r="G12" s="436"/>
      <c r="H12" s="437">
        <v>0</v>
      </c>
      <c r="I12" s="441"/>
      <c r="J12" s="429"/>
      <c r="K12" s="385"/>
      <c r="L12" s="440"/>
      <c r="M12" s="439"/>
      <c r="N12" s="392"/>
      <c r="O12" s="392"/>
      <c r="P12" s="385"/>
    </row>
    <row r="13" spans="1:41" ht="16.5">
      <c r="A13" s="381" t="s">
        <v>330</v>
      </c>
      <c r="B13" s="385" t="s">
        <v>506</v>
      </c>
      <c r="C13" s="381" t="s">
        <v>22</v>
      </c>
      <c r="D13" s="441">
        <v>0</v>
      </c>
      <c r="E13" s="443"/>
      <c r="F13" s="441">
        <v>0</v>
      </c>
      <c r="G13" s="443"/>
      <c r="H13" s="441">
        <v>0</v>
      </c>
      <c r="I13" s="441"/>
      <c r="J13" s="429"/>
      <c r="K13" s="385"/>
      <c r="L13" s="440"/>
      <c r="M13" s="439"/>
      <c r="N13" s="392"/>
      <c r="O13" s="392"/>
      <c r="P13" s="385"/>
    </row>
    <row r="14" spans="1:41" ht="16.5">
      <c r="A14" s="381" t="s">
        <v>329</v>
      </c>
      <c r="B14" s="385" t="s">
        <v>505</v>
      </c>
      <c r="C14" s="381" t="s">
        <v>22</v>
      </c>
      <c r="D14" s="441">
        <v>0</v>
      </c>
      <c r="E14" s="436"/>
      <c r="F14" s="441">
        <v>0</v>
      </c>
      <c r="G14" s="443"/>
      <c r="H14" s="441">
        <v>0</v>
      </c>
      <c r="I14" s="441"/>
      <c r="J14" s="429"/>
      <c r="K14" s="390"/>
      <c r="L14" s="440"/>
      <c r="M14" s="439"/>
      <c r="N14" s="442"/>
      <c r="O14" s="442"/>
      <c r="P14" s="390"/>
      <c r="Q14" s="386"/>
      <c r="R14" s="386"/>
      <c r="S14" s="386"/>
      <c r="T14" s="386"/>
      <c r="U14" s="386"/>
      <c r="V14" s="386"/>
      <c r="W14" s="386"/>
      <c r="X14" s="386"/>
      <c r="Y14" s="386"/>
      <c r="Z14" s="386"/>
      <c r="AA14" s="386"/>
      <c r="AB14" s="386"/>
      <c r="AC14" s="386"/>
      <c r="AD14" s="386"/>
      <c r="AE14" s="386"/>
      <c r="AF14" s="386"/>
      <c r="AG14" s="386"/>
      <c r="AH14" s="386"/>
      <c r="AI14" s="386"/>
      <c r="AJ14" s="386"/>
      <c r="AK14" s="386"/>
      <c r="AL14" s="386"/>
      <c r="AM14" s="386"/>
      <c r="AN14" s="386"/>
      <c r="AO14" s="386"/>
    </row>
    <row r="15" spans="1:41" ht="16.5">
      <c r="A15" s="381" t="s">
        <v>328</v>
      </c>
      <c r="B15" s="385" t="s">
        <v>504</v>
      </c>
      <c r="C15" s="381" t="s">
        <v>22</v>
      </c>
      <c r="D15" s="435">
        <v>0</v>
      </c>
      <c r="E15" s="436"/>
      <c r="F15" s="435">
        <v>0</v>
      </c>
      <c r="G15" s="436"/>
      <c r="H15" s="435">
        <v>0</v>
      </c>
      <c r="I15" s="441"/>
      <c r="J15" s="429"/>
      <c r="K15" s="385"/>
      <c r="L15" s="440"/>
      <c r="M15" s="439"/>
      <c r="N15" s="392"/>
      <c r="O15" s="392"/>
      <c r="P15" s="385"/>
    </row>
    <row r="16" spans="1:41" ht="15.75">
      <c r="A16" s="381" t="s">
        <v>327</v>
      </c>
      <c r="B16" s="383" t="s">
        <v>503</v>
      </c>
      <c r="C16" s="381" t="s">
        <v>22</v>
      </c>
      <c r="D16" s="392">
        <f>SUM(D12:D15)</f>
        <v>0</v>
      </c>
      <c r="E16" s="385"/>
      <c r="F16" s="392">
        <f>SUM(F12:F15)</f>
        <v>0</v>
      </c>
      <c r="G16" s="385"/>
      <c r="H16" s="392">
        <f>SUM(H12:H15)</f>
        <v>0</v>
      </c>
      <c r="I16" s="385"/>
      <c r="J16" s="429"/>
      <c r="K16" s="385"/>
      <c r="L16" s="440"/>
      <c r="M16" s="439"/>
      <c r="N16" s="392"/>
      <c r="O16" s="392"/>
      <c r="P16" s="385"/>
    </row>
    <row r="17" spans="1:16" ht="15">
      <c r="A17" s="381" t="s">
        <v>325</v>
      </c>
      <c r="B17" s="385" t="s">
        <v>502</v>
      </c>
      <c r="C17" s="381" t="s">
        <v>22</v>
      </c>
      <c r="D17" s="392">
        <f>D.5!D70</f>
        <v>1711017</v>
      </c>
      <c r="E17" s="385"/>
      <c r="F17" s="392">
        <f>D.5!H70</f>
        <v>1793149</v>
      </c>
      <c r="G17" s="392"/>
      <c r="H17" s="392">
        <f>D.5!L70</f>
        <v>1554675</v>
      </c>
      <c r="I17" s="385"/>
      <c r="J17" s="429"/>
      <c r="K17" s="385"/>
      <c r="L17" s="440"/>
      <c r="M17" s="439"/>
      <c r="N17" s="392"/>
      <c r="O17" s="392"/>
      <c r="P17" s="385"/>
    </row>
    <row r="18" spans="1:16" ht="15">
      <c r="A18" s="381" t="s">
        <v>323</v>
      </c>
      <c r="B18" s="385" t="s">
        <v>501</v>
      </c>
      <c r="C18" s="385"/>
      <c r="D18" s="392"/>
      <c r="E18" s="385"/>
      <c r="F18" s="437"/>
      <c r="G18" s="436"/>
      <c r="H18" s="437"/>
      <c r="I18" s="385"/>
      <c r="J18" s="429"/>
      <c r="K18" s="385"/>
      <c r="L18" s="385"/>
      <c r="M18" s="385"/>
      <c r="N18" s="385"/>
      <c r="O18" s="385"/>
      <c r="P18" s="385"/>
    </row>
    <row r="19" spans="1:16" ht="15">
      <c r="A19" s="381" t="s">
        <v>321</v>
      </c>
      <c r="B19" s="385" t="s">
        <v>500</v>
      </c>
      <c r="C19" s="381" t="s">
        <v>22</v>
      </c>
      <c r="D19" s="437">
        <v>0</v>
      </c>
      <c r="E19" s="385"/>
      <c r="F19" s="437">
        <v>0</v>
      </c>
      <c r="G19" s="436"/>
      <c r="H19" s="437">
        <v>0</v>
      </c>
      <c r="I19" s="385"/>
      <c r="J19" s="429"/>
      <c r="K19" s="385"/>
      <c r="L19" s="385"/>
      <c r="M19" s="385"/>
      <c r="N19" s="385"/>
      <c r="O19" s="385"/>
      <c r="P19" s="385"/>
    </row>
    <row r="20" spans="1:16" ht="15">
      <c r="A20" s="381" t="s">
        <v>319</v>
      </c>
      <c r="B20" s="385" t="s">
        <v>499</v>
      </c>
      <c r="C20" s="381" t="s">
        <v>22</v>
      </c>
      <c r="D20" s="437">
        <v>0</v>
      </c>
      <c r="E20" s="385"/>
      <c r="F20" s="437">
        <v>0</v>
      </c>
      <c r="G20" s="436"/>
      <c r="H20" s="437">
        <v>0</v>
      </c>
      <c r="I20" s="385"/>
      <c r="J20" s="429"/>
      <c r="K20" s="385"/>
      <c r="L20" s="385"/>
      <c r="M20" s="385"/>
      <c r="N20" s="385"/>
      <c r="O20" s="385"/>
      <c r="P20" s="385"/>
    </row>
    <row r="21" spans="1:16" ht="15">
      <c r="A21" s="381" t="s">
        <v>318</v>
      </c>
      <c r="B21" s="385" t="s">
        <v>498</v>
      </c>
      <c r="C21" s="385"/>
      <c r="D21" s="464"/>
      <c r="E21" s="433"/>
      <c r="F21" s="392"/>
      <c r="G21" s="598"/>
      <c r="H21" s="392"/>
      <c r="I21" s="385"/>
      <c r="J21" s="429"/>
      <c r="K21" s="385"/>
      <c r="L21" s="385"/>
      <c r="M21" s="385"/>
      <c r="N21" s="385"/>
      <c r="O21" s="385"/>
      <c r="P21" s="385"/>
    </row>
    <row r="22" spans="1:16" ht="15">
      <c r="A22" s="381" t="s">
        <v>317</v>
      </c>
      <c r="B22" s="385" t="s">
        <v>312</v>
      </c>
      <c r="C22" s="381" t="s">
        <v>22</v>
      </c>
      <c r="D22" s="818">
        <v>0</v>
      </c>
      <c r="E22" s="463"/>
      <c r="F22" s="818">
        <v>0</v>
      </c>
      <c r="G22" s="599"/>
      <c r="H22" s="818">
        <v>1247</v>
      </c>
      <c r="I22" s="385"/>
      <c r="J22" s="429"/>
      <c r="K22" s="385"/>
      <c r="L22" s="385"/>
      <c r="M22" s="385"/>
      <c r="N22" s="385"/>
      <c r="O22" s="385"/>
      <c r="P22" s="385"/>
    </row>
    <row r="23" spans="1:16" ht="15">
      <c r="A23" s="381" t="s">
        <v>315</v>
      </c>
      <c r="B23" s="385" t="s">
        <v>355</v>
      </c>
      <c r="C23" s="381" t="s">
        <v>22</v>
      </c>
      <c r="D23" s="818">
        <v>-851387</v>
      </c>
      <c r="E23" s="463"/>
      <c r="F23" s="818">
        <v>-813837</v>
      </c>
      <c r="G23" s="438"/>
      <c r="H23" s="818">
        <v>-827070</v>
      </c>
      <c r="I23" s="385"/>
      <c r="J23" s="429"/>
      <c r="K23" s="385"/>
      <c r="L23" s="385"/>
      <c r="M23" s="385"/>
      <c r="N23" s="385"/>
      <c r="O23" s="385"/>
      <c r="P23" s="385"/>
    </row>
    <row r="24" spans="1:16" ht="15">
      <c r="A24" s="381" t="s">
        <v>313</v>
      </c>
      <c r="B24" s="385" t="s">
        <v>497</v>
      </c>
      <c r="C24" s="381" t="s">
        <v>22</v>
      </c>
      <c r="D24" s="819">
        <v>2182</v>
      </c>
      <c r="E24" s="463"/>
      <c r="F24" s="819">
        <v>2053</v>
      </c>
      <c r="G24" s="599"/>
      <c r="H24" s="819">
        <v>2007</v>
      </c>
      <c r="I24" s="385"/>
      <c r="J24" s="429"/>
      <c r="K24" s="385"/>
      <c r="L24" s="385"/>
      <c r="M24" s="385"/>
      <c r="N24" s="385"/>
      <c r="O24" s="385"/>
      <c r="P24" s="385"/>
    </row>
    <row r="25" spans="1:16" ht="15">
      <c r="A25" s="381" t="s">
        <v>311</v>
      </c>
      <c r="B25" s="385" t="s">
        <v>496</v>
      </c>
      <c r="C25" s="381" t="s">
        <v>22</v>
      </c>
      <c r="D25" s="819">
        <v>-99</v>
      </c>
      <c r="E25" s="463"/>
      <c r="F25" s="819">
        <v>-0.09</v>
      </c>
      <c r="G25" s="599"/>
      <c r="H25" s="819">
        <v>-12.5</v>
      </c>
      <c r="I25" s="385"/>
      <c r="J25" s="429"/>
      <c r="K25" s="385"/>
      <c r="L25" s="385"/>
      <c r="M25" s="385"/>
      <c r="N25" s="385"/>
      <c r="O25" s="385"/>
      <c r="P25" s="385"/>
    </row>
    <row r="26" spans="1:16" ht="15">
      <c r="A26" s="381" t="s">
        <v>309</v>
      </c>
      <c r="B26" s="385" t="s">
        <v>495</v>
      </c>
      <c r="C26" s="381" t="s">
        <v>22</v>
      </c>
      <c r="D26" s="818"/>
      <c r="E26" s="463"/>
      <c r="F26" s="818"/>
      <c r="G26" s="599"/>
      <c r="H26" s="818"/>
      <c r="I26" s="385"/>
      <c r="J26" s="429"/>
      <c r="K26" s="385"/>
      <c r="L26" s="385"/>
      <c r="M26" s="385"/>
      <c r="N26" s="385"/>
      <c r="O26" s="385"/>
      <c r="P26" s="385"/>
    </row>
    <row r="27" spans="1:16" ht="16.5">
      <c r="A27" s="381" t="s">
        <v>307</v>
      </c>
      <c r="B27" s="385" t="s">
        <v>494</v>
      </c>
      <c r="C27" s="381" t="s">
        <v>22</v>
      </c>
      <c r="D27" s="820">
        <f>+-321298+-68358.67+117444.36+0</f>
        <v>-272212.31</v>
      </c>
      <c r="E27" s="463"/>
      <c r="F27" s="820">
        <f>+-519897+-15656.34+132419.01+0</f>
        <v>-403134.32999999996</v>
      </c>
      <c r="G27" s="599"/>
      <c r="H27" s="820">
        <f>+-319209+-8978.64+-715.36+0</f>
        <v>-328903</v>
      </c>
      <c r="I27" s="385"/>
      <c r="J27" s="429"/>
      <c r="K27" s="385"/>
      <c r="L27" s="385"/>
      <c r="M27" s="385"/>
      <c r="N27" s="385"/>
      <c r="O27" s="385"/>
      <c r="P27" s="385"/>
    </row>
    <row r="28" spans="1:16" ht="15.75">
      <c r="A28" s="381" t="s">
        <v>304</v>
      </c>
      <c r="B28" s="383" t="s">
        <v>493</v>
      </c>
      <c r="C28" s="381" t="s">
        <v>22</v>
      </c>
      <c r="D28" s="464">
        <f>SUM(D16:D27)</f>
        <v>589500.68999999994</v>
      </c>
      <c r="E28" s="433"/>
      <c r="F28" s="464">
        <f>SUM(F16:F27)</f>
        <v>578230.58000000007</v>
      </c>
      <c r="G28" s="385"/>
      <c r="H28" s="392">
        <f>SUM(H16:H27)</f>
        <v>401943.5</v>
      </c>
      <c r="I28" s="385"/>
      <c r="J28" s="429"/>
      <c r="K28" s="385"/>
      <c r="L28" s="385"/>
      <c r="M28" s="392"/>
      <c r="N28" s="385"/>
      <c r="O28" s="385"/>
      <c r="P28" s="385"/>
    </row>
    <row r="29" spans="1:16" ht="15">
      <c r="A29" s="381" t="s">
        <v>303</v>
      </c>
      <c r="B29" s="385"/>
      <c r="C29" s="385"/>
      <c r="D29" s="392"/>
      <c r="E29" s="385"/>
      <c r="F29" s="385"/>
      <c r="G29" s="385"/>
      <c r="H29" s="385"/>
      <c r="I29" s="385"/>
      <c r="J29" s="429"/>
      <c r="K29" s="385"/>
      <c r="L29" s="385"/>
      <c r="M29" s="392"/>
      <c r="N29" s="385"/>
      <c r="O29" s="385"/>
      <c r="P29" s="385"/>
    </row>
    <row r="30" spans="1:16" ht="15">
      <c r="A30" s="434">
        <v>21</v>
      </c>
      <c r="B30" s="385" t="s">
        <v>492</v>
      </c>
      <c r="C30" s="381" t="s">
        <v>22</v>
      </c>
      <c r="D30" s="437"/>
      <c r="E30" s="385"/>
      <c r="F30" s="437"/>
      <c r="G30" s="436"/>
      <c r="H30" s="437"/>
      <c r="I30" s="385"/>
      <c r="J30" s="429"/>
      <c r="K30" s="385"/>
      <c r="L30" s="385"/>
      <c r="M30" s="385"/>
      <c r="N30" s="385"/>
      <c r="O30" s="385"/>
      <c r="P30" s="385"/>
    </row>
    <row r="31" spans="1:16" ht="15">
      <c r="A31" s="434">
        <v>22</v>
      </c>
      <c r="B31" s="385" t="s">
        <v>491</v>
      </c>
      <c r="C31" s="381" t="s">
        <v>22</v>
      </c>
      <c r="D31" s="821">
        <v>0</v>
      </c>
      <c r="E31" s="822"/>
      <c r="F31" s="821">
        <v>0</v>
      </c>
      <c r="G31" s="823"/>
      <c r="H31" s="821">
        <v>0</v>
      </c>
      <c r="I31" s="385"/>
      <c r="J31" s="429"/>
      <c r="K31" s="385"/>
      <c r="L31" s="385"/>
      <c r="M31" s="385"/>
      <c r="N31" s="385"/>
      <c r="O31" s="385"/>
      <c r="P31" s="385"/>
    </row>
    <row r="32" spans="1:16" ht="15">
      <c r="A32" s="434">
        <v>23</v>
      </c>
      <c r="B32" s="385" t="s">
        <v>490</v>
      </c>
      <c r="C32" s="381" t="s">
        <v>22</v>
      </c>
      <c r="D32" s="824">
        <v>0</v>
      </c>
      <c r="E32" s="822"/>
      <c r="F32" s="824">
        <v>0</v>
      </c>
      <c r="G32" s="823"/>
      <c r="H32" s="824">
        <v>0</v>
      </c>
      <c r="I32" s="385"/>
      <c r="J32" s="429"/>
      <c r="K32" s="385"/>
      <c r="L32" s="385"/>
      <c r="M32" s="385"/>
      <c r="N32" s="385"/>
      <c r="O32" s="385"/>
      <c r="P32" s="385"/>
    </row>
    <row r="33" spans="1:16" ht="16.5" thickBot="1">
      <c r="A33" s="434">
        <v>24</v>
      </c>
      <c r="B33" s="383" t="s">
        <v>489</v>
      </c>
      <c r="C33" s="381" t="s">
        <v>22</v>
      </c>
      <c r="D33" s="432">
        <f>SUM(D17:D27)</f>
        <v>589500.68999999994</v>
      </c>
      <c r="E33" s="433"/>
      <c r="F33" s="432">
        <f>F28+SUM(F30:F32)</f>
        <v>578230.58000000007</v>
      </c>
      <c r="G33" s="431">
        <f>G28+SUM(G30:G32)</f>
        <v>0</v>
      </c>
      <c r="H33" s="430">
        <f>H28+SUM(H30:H32)</f>
        <v>401943.5</v>
      </c>
      <c r="I33" s="385"/>
      <c r="J33" s="429"/>
      <c r="L33" s="428"/>
      <c r="M33" s="385"/>
      <c r="N33" s="385"/>
      <c r="O33" s="385"/>
      <c r="P33" s="385"/>
    </row>
    <row r="34" spans="1:16" ht="15" thickTop="1">
      <c r="A34" s="385"/>
      <c r="B34" s="385"/>
      <c r="C34" s="385"/>
      <c r="D34" s="392"/>
      <c r="E34" s="392"/>
      <c r="F34" s="392"/>
      <c r="G34" s="385"/>
      <c r="H34" s="392"/>
      <c r="I34" s="385"/>
      <c r="J34" s="392"/>
      <c r="K34" s="385"/>
      <c r="L34" s="392"/>
      <c r="M34" s="392"/>
      <c r="N34" s="392"/>
      <c r="O34" s="392"/>
      <c r="P34" s="385"/>
    </row>
    <row r="35" spans="1:16" ht="16.5">
      <c r="A35" s="385"/>
      <c r="B35" s="426" t="s">
        <v>488</v>
      </c>
      <c r="C35" s="385"/>
      <c r="D35" s="385"/>
      <c r="E35" s="385"/>
      <c r="F35" s="392"/>
      <c r="G35" s="385"/>
      <c r="H35" s="427"/>
      <c r="I35" s="385"/>
      <c r="J35" s="385"/>
      <c r="K35" s="385"/>
      <c r="L35" s="385"/>
      <c r="M35" s="385"/>
      <c r="N35" s="385"/>
      <c r="O35" s="385"/>
      <c r="P35" s="385"/>
    </row>
    <row r="36" spans="1:16" ht="16.5">
      <c r="A36" s="385"/>
      <c r="B36" s="426" t="s">
        <v>487</v>
      </c>
      <c r="C36" s="385"/>
      <c r="D36" s="385"/>
      <c r="E36" s="385"/>
      <c r="F36" s="385"/>
      <c r="G36" s="385"/>
      <c r="H36" s="385"/>
      <c r="I36" s="385"/>
      <c r="J36" s="385"/>
      <c r="K36" s="385"/>
      <c r="L36" s="385"/>
      <c r="M36" s="385"/>
      <c r="N36" s="385"/>
      <c r="O36" s="385"/>
      <c r="P36" s="385"/>
    </row>
    <row r="37" spans="1:16">
      <c r="B37" s="402" t="s">
        <v>486</v>
      </c>
    </row>
    <row r="39" spans="1:16">
      <c r="D39" s="425"/>
    </row>
    <row r="67" spans="1:1">
      <c r="A67" s="380" t="str">
        <f>A1</f>
        <v>Atmos Energy Corporation</v>
      </c>
    </row>
    <row r="87" spans="4:10">
      <c r="D87" s="424"/>
      <c r="F87" s="424"/>
      <c r="H87" s="424"/>
      <c r="J87" s="424"/>
    </row>
    <row r="88" spans="4:10">
      <c r="D88" s="424"/>
      <c r="F88" s="424"/>
      <c r="H88" s="424"/>
      <c r="J88" s="424"/>
    </row>
    <row r="89" spans="4:10">
      <c r="D89" s="424"/>
      <c r="F89" s="424"/>
      <c r="H89" s="424"/>
      <c r="J89" s="424"/>
    </row>
    <row r="90" spans="4:10">
      <c r="D90" s="424"/>
      <c r="F90" s="424"/>
      <c r="H90" s="424"/>
      <c r="J90" s="424"/>
    </row>
  </sheetData>
  <mergeCells count="1">
    <mergeCell ref="A3:D3"/>
  </mergeCells>
  <printOptions horizontalCentered="1"/>
  <pageMargins left="0.5" right="0.5" top="0.5" bottom="0.5" header="0.5" footer="0.5"/>
  <pageSetup scale="93" orientation="portrait" r:id="rId1"/>
  <headerFooter alignWithMargins="0"/>
  <customProperties>
    <customPr name="_pios_id" r:id="rId2"/>
  </customProperties>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election activeCell="E33" sqref="E33"/>
    </sheetView>
  </sheetViews>
  <sheetFormatPr defaultRowHeight="15"/>
  <sheetData/>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pageSetUpPr fitToPage="1"/>
  </sheetPr>
  <dimension ref="A1:AJ93"/>
  <sheetViews>
    <sheetView showGridLines="0" zoomScale="80" zoomScaleNormal="80" workbookViewId="0">
      <selection activeCell="E33" sqref="E33"/>
    </sheetView>
  </sheetViews>
  <sheetFormatPr defaultColWidth="12.5703125" defaultRowHeight="14.25"/>
  <cols>
    <col min="1" max="1" width="6.140625" style="380" customWidth="1"/>
    <col min="2" max="2" width="35.7109375" style="380" customWidth="1"/>
    <col min="3" max="3" width="6.140625" style="380" customWidth="1"/>
    <col min="4" max="4" width="17" style="380" customWidth="1"/>
    <col min="5" max="5" width="2.28515625" style="380" customWidth="1"/>
    <col min="6" max="6" width="16.42578125" style="380" customWidth="1"/>
    <col min="7" max="7" width="2.28515625" style="380" customWidth="1"/>
    <col min="8" max="8" width="16.42578125" style="380" customWidth="1"/>
    <col min="9" max="9" width="2.28515625" style="380" customWidth="1"/>
    <col min="10" max="10" width="16.42578125" style="380" customWidth="1"/>
    <col min="11" max="11" width="2.28515625" style="380" customWidth="1"/>
    <col min="12" max="12" width="20.7109375" style="380" customWidth="1"/>
    <col min="13" max="13" width="27.140625" style="380" customWidth="1"/>
    <col min="14" max="14" width="18" style="380" bestFit="1" customWidth="1"/>
    <col min="15" max="15" width="14.85546875" style="380" bestFit="1" customWidth="1"/>
    <col min="16" max="16384" width="12.5703125" style="380"/>
  </cols>
  <sheetData>
    <row r="1" spans="1:36" ht="15">
      <c r="A1" s="452" t="s">
        <v>51</v>
      </c>
      <c r="B1" s="385"/>
      <c r="C1" s="385"/>
      <c r="D1" s="385"/>
      <c r="E1" s="385"/>
      <c r="F1" s="385"/>
      <c r="G1" s="385"/>
      <c r="H1" s="385" t="s">
        <v>485</v>
      </c>
      <c r="I1" s="385"/>
      <c r="K1" s="385"/>
      <c r="M1" s="385"/>
    </row>
    <row r="2" spans="1:36">
      <c r="A2" s="451" t="s">
        <v>513</v>
      </c>
      <c r="B2" s="385"/>
      <c r="C2" s="385"/>
      <c r="D2" s="385"/>
      <c r="E2" s="385"/>
      <c r="F2" s="385"/>
      <c r="G2" s="385"/>
      <c r="H2" s="385" t="s">
        <v>525</v>
      </c>
      <c r="I2" s="385"/>
      <c r="K2" s="385"/>
      <c r="M2" s="385"/>
    </row>
    <row r="3" spans="1:36">
      <c r="A3" s="1131">
        <f>D.1!A3:D3</f>
        <v>42186</v>
      </c>
      <c r="B3" s="1131"/>
      <c r="C3" s="1131"/>
      <c r="D3" s="1131"/>
      <c r="E3" s="385"/>
      <c r="F3" s="385"/>
      <c r="G3" s="385"/>
      <c r="H3" s="385"/>
      <c r="I3" s="385"/>
      <c r="J3" s="385"/>
      <c r="K3" s="385"/>
      <c r="L3" s="385"/>
      <c r="M3" s="385"/>
    </row>
    <row r="4" spans="1:36">
      <c r="A4" s="451" t="str">
        <f>D.1!A4</f>
        <v>2015-00000</v>
      </c>
      <c r="B4" s="385"/>
      <c r="C4" s="385"/>
      <c r="D4" s="385"/>
      <c r="E4" s="385"/>
      <c r="F4" s="385"/>
      <c r="G4" s="385"/>
      <c r="H4" s="385"/>
      <c r="I4" s="385"/>
      <c r="J4" s="385"/>
      <c r="K4" s="385"/>
      <c r="L4" s="385"/>
      <c r="M4" s="385"/>
    </row>
    <row r="5" spans="1:36" ht="15">
      <c r="A5" s="451"/>
      <c r="B5" s="385"/>
      <c r="C5" s="385" t="s">
        <v>511</v>
      </c>
      <c r="D5" s="450">
        <f>EDATE(D9,1)</f>
        <v>42156</v>
      </c>
      <c r="E5" s="390"/>
      <c r="F5" s="450">
        <f>EDATE(F9,1)</f>
        <v>42186</v>
      </c>
      <c r="G5" s="390"/>
      <c r="H5" s="450">
        <f>EDATE(H9,1)</f>
        <v>42217</v>
      </c>
      <c r="I5" s="385"/>
      <c r="J5" s="429"/>
      <c r="K5" s="385"/>
      <c r="L5" s="385"/>
      <c r="M5" s="385"/>
    </row>
    <row r="6" spans="1:36" ht="15">
      <c r="A6" s="385"/>
      <c r="B6" s="385"/>
      <c r="C6" s="385"/>
      <c r="D6" s="385"/>
      <c r="E6" s="385"/>
      <c r="F6" s="385"/>
      <c r="G6" s="385"/>
      <c r="H6" s="385"/>
      <c r="I6" s="385"/>
      <c r="J6" s="429"/>
      <c r="K6" s="385"/>
      <c r="L6" s="385"/>
      <c r="M6" s="385"/>
    </row>
    <row r="7" spans="1:36" ht="15">
      <c r="A7" s="385"/>
      <c r="B7" s="385"/>
      <c r="C7" s="385"/>
      <c r="D7" s="381" t="s">
        <v>46</v>
      </c>
      <c r="F7" s="381" t="s">
        <v>45</v>
      </c>
      <c r="G7" s="392"/>
      <c r="H7" s="381" t="s">
        <v>44</v>
      </c>
      <c r="I7" s="385"/>
      <c r="J7" s="429"/>
      <c r="K7" s="385"/>
      <c r="L7" s="385"/>
      <c r="M7" s="385"/>
    </row>
    <row r="8" spans="1:36" ht="15">
      <c r="A8" s="381" t="s">
        <v>43</v>
      </c>
      <c r="B8" s="385"/>
      <c r="C8" s="385"/>
      <c r="D8" s="449" t="s">
        <v>167</v>
      </c>
      <c r="E8" s="449"/>
      <c r="F8" s="449"/>
      <c r="G8" s="449"/>
      <c r="H8" s="449"/>
      <c r="I8" s="449"/>
      <c r="J8" s="429"/>
      <c r="K8" s="385"/>
      <c r="L8" s="448"/>
      <c r="M8" s="468"/>
      <c r="N8" s="468"/>
    </row>
    <row r="9" spans="1:36" ht="15">
      <c r="A9" s="381" t="s">
        <v>42</v>
      </c>
      <c r="B9" s="447" t="s">
        <v>41</v>
      </c>
      <c r="C9" s="385" t="s">
        <v>510</v>
      </c>
      <c r="D9" s="445">
        <f>CF_Month_1</f>
        <v>42125</v>
      </c>
      <c r="E9" s="446"/>
      <c r="F9" s="445">
        <f>CF_Month_2</f>
        <v>42156</v>
      </c>
      <c r="G9" s="446"/>
      <c r="H9" s="445">
        <f>CF_Month_3</f>
        <v>42186</v>
      </c>
      <c r="I9" s="446"/>
      <c r="J9" s="429"/>
      <c r="K9" s="385"/>
      <c r="M9" s="468"/>
      <c r="N9" s="468"/>
    </row>
    <row r="10" spans="1:36" ht="15.75">
      <c r="A10" s="381" t="s">
        <v>333</v>
      </c>
      <c r="B10" s="383" t="s">
        <v>524</v>
      </c>
      <c r="C10" s="385"/>
      <c r="D10" s="392"/>
      <c r="E10" s="385"/>
      <c r="F10" s="385"/>
      <c r="G10" s="385"/>
      <c r="H10" s="385"/>
      <c r="I10" s="385"/>
      <c r="J10" s="429"/>
      <c r="K10" s="385"/>
      <c r="L10" s="385"/>
      <c r="M10" s="468"/>
      <c r="N10" s="467"/>
    </row>
    <row r="11" spans="1:36" ht="15">
      <c r="A11" s="381" t="s">
        <v>56</v>
      </c>
      <c r="B11" s="385" t="s">
        <v>508</v>
      </c>
      <c r="C11" s="385"/>
      <c r="D11" s="392"/>
      <c r="E11" s="385"/>
      <c r="F11" s="385"/>
      <c r="G11" s="385"/>
      <c r="H11" s="385"/>
      <c r="I11" s="385"/>
      <c r="J11" s="429"/>
      <c r="K11" s="385"/>
      <c r="L11" s="385"/>
      <c r="M11" s="468"/>
      <c r="N11" s="467"/>
    </row>
    <row r="12" spans="1:36" ht="16.5">
      <c r="A12" s="381" t="s">
        <v>331</v>
      </c>
      <c r="B12" s="385" t="s">
        <v>507</v>
      </c>
      <c r="C12" s="381" t="s">
        <v>242</v>
      </c>
      <c r="D12" s="818">
        <f>40823.68+10950+230023.72+1014162.21</f>
        <v>1295959.6099999999</v>
      </c>
      <c r="E12" s="599"/>
      <c r="F12" s="818">
        <f>37276.97+10950+0.24+222603.6+981447.06</f>
        <v>1252277.8700000001</v>
      </c>
      <c r="G12" s="599"/>
      <c r="H12" s="818">
        <f>230023.72+1014162.21+10950+37649.45</f>
        <v>1292785.3799999999</v>
      </c>
      <c r="I12" s="436"/>
      <c r="J12" s="429"/>
      <c r="K12" s="385"/>
      <c r="L12" s="392"/>
      <c r="M12" s="468"/>
      <c r="N12" s="467"/>
    </row>
    <row r="13" spans="1:36" ht="16.5">
      <c r="A13" s="381" t="s">
        <v>330</v>
      </c>
      <c r="B13" s="385" t="s">
        <v>506</v>
      </c>
      <c r="C13" s="381" t="s">
        <v>242</v>
      </c>
      <c r="D13" s="825">
        <f>132065.7+64373.56</f>
        <v>196439.26</v>
      </c>
      <c r="E13" s="614"/>
      <c r="F13" s="825">
        <f>121055+64373.56</f>
        <v>185428.56</v>
      </c>
      <c r="G13" s="614"/>
      <c r="H13" s="825">
        <f>62077.88+64373.56</f>
        <v>126451.44</v>
      </c>
      <c r="I13" s="443"/>
      <c r="J13" s="429"/>
      <c r="K13" s="390"/>
      <c r="L13" s="392"/>
      <c r="M13" s="462"/>
      <c r="N13" s="462"/>
    </row>
    <row r="14" spans="1:36" ht="16.5">
      <c r="A14" s="381" t="s">
        <v>329</v>
      </c>
      <c r="B14" s="385" t="s">
        <v>523</v>
      </c>
      <c r="C14" s="381" t="s">
        <v>242</v>
      </c>
      <c r="D14" s="825">
        <f>+-1.61+6878.12</f>
        <v>6876.51</v>
      </c>
      <c r="E14" s="592"/>
      <c r="F14" s="825">
        <f>+-1.24+6656.25</f>
        <v>6655.01</v>
      </c>
      <c r="G14" s="592"/>
      <c r="H14" s="825">
        <f>6878.12+-1.21</f>
        <v>6876.91</v>
      </c>
      <c r="I14" s="443"/>
      <c r="J14" s="429"/>
      <c r="K14" s="390"/>
      <c r="L14" s="442"/>
      <c r="M14" s="462"/>
      <c r="N14" s="462"/>
      <c r="O14" s="386"/>
      <c r="P14" s="386"/>
      <c r="Q14" s="386"/>
      <c r="R14" s="386"/>
      <c r="S14" s="386"/>
      <c r="T14" s="386"/>
      <c r="U14" s="386"/>
      <c r="V14" s="386"/>
      <c r="W14" s="386"/>
      <c r="X14" s="386"/>
      <c r="Y14" s="386"/>
      <c r="Z14" s="386"/>
      <c r="AA14" s="386"/>
      <c r="AB14" s="386"/>
      <c r="AC14" s="386"/>
      <c r="AD14" s="386"/>
      <c r="AE14" s="386"/>
      <c r="AF14" s="386"/>
      <c r="AG14" s="386"/>
      <c r="AH14" s="386"/>
      <c r="AI14" s="386"/>
      <c r="AJ14" s="386"/>
    </row>
    <row r="15" spans="1:36" ht="15">
      <c r="A15" s="381" t="s">
        <v>328</v>
      </c>
      <c r="B15" s="385" t="s">
        <v>522</v>
      </c>
      <c r="C15" s="381" t="s">
        <v>242</v>
      </c>
      <c r="D15" s="825">
        <f>0+10940.09+10265.75</f>
        <v>21205.84</v>
      </c>
      <c r="E15" s="592"/>
      <c r="F15" s="825">
        <f>9484.07+10265.75</f>
        <v>19749.82</v>
      </c>
      <c r="G15" s="592"/>
      <c r="H15" s="825">
        <f>10265.75+9890.44</f>
        <v>20156.190000000002</v>
      </c>
      <c r="I15" s="443"/>
      <c r="J15" s="429"/>
      <c r="K15" s="390"/>
      <c r="L15" s="442"/>
      <c r="M15" s="462"/>
      <c r="N15" s="462"/>
      <c r="O15" s="386"/>
      <c r="P15" s="386"/>
      <c r="Q15" s="386"/>
      <c r="R15" s="386"/>
      <c r="S15" s="386"/>
      <c r="T15" s="386"/>
      <c r="U15" s="386"/>
      <c r="V15" s="386"/>
      <c r="W15" s="386"/>
      <c r="X15" s="386"/>
      <c r="Y15" s="386"/>
      <c r="Z15" s="386"/>
      <c r="AA15" s="386"/>
      <c r="AB15" s="386"/>
      <c r="AC15" s="386"/>
      <c r="AD15" s="386"/>
      <c r="AE15" s="386"/>
      <c r="AF15" s="386"/>
      <c r="AG15" s="386"/>
      <c r="AH15" s="386"/>
      <c r="AI15" s="386"/>
      <c r="AJ15" s="386"/>
    </row>
    <row r="16" spans="1:36" ht="16.5">
      <c r="A16" s="381" t="s">
        <v>327</v>
      </c>
      <c r="B16" s="385" t="s">
        <v>504</v>
      </c>
      <c r="C16" s="381" t="s">
        <v>242</v>
      </c>
      <c r="D16" s="466">
        <v>0</v>
      </c>
      <c r="E16" s="599"/>
      <c r="F16" s="466">
        <v>0</v>
      </c>
      <c r="G16" s="599"/>
      <c r="H16" s="466">
        <v>0</v>
      </c>
      <c r="I16" s="436"/>
      <c r="J16" s="429"/>
      <c r="K16" s="385"/>
      <c r="L16" s="392"/>
      <c r="M16" s="462"/>
      <c r="N16" s="461"/>
    </row>
    <row r="17" spans="1:15" ht="15.75">
      <c r="A17" s="381" t="s">
        <v>325</v>
      </c>
      <c r="B17" s="383" t="s">
        <v>503</v>
      </c>
      <c r="C17" s="381" t="s">
        <v>242</v>
      </c>
      <c r="D17" s="464">
        <f>SUM(D12:D16)</f>
        <v>1520481.22</v>
      </c>
      <c r="E17" s="433"/>
      <c r="F17" s="464">
        <f>SUM(F12:F16)</f>
        <v>1464111.2600000002</v>
      </c>
      <c r="G17" s="433"/>
      <c r="H17" s="464">
        <f>SUM(H12:H16)</f>
        <v>1446269.9199999997</v>
      </c>
      <c r="I17" s="385"/>
      <c r="J17" s="457"/>
      <c r="K17" s="385"/>
      <c r="L17" s="392"/>
      <c r="M17" s="462"/>
      <c r="N17" s="461"/>
    </row>
    <row r="18" spans="1:15" ht="15">
      <c r="A18" s="381" t="s">
        <v>323</v>
      </c>
      <c r="B18" s="385" t="s">
        <v>502</v>
      </c>
      <c r="C18" s="381" t="s">
        <v>242</v>
      </c>
      <c r="D18" s="464">
        <f>D.5!F70</f>
        <v>4122057.39</v>
      </c>
      <c r="E18" s="433"/>
      <c r="F18" s="464">
        <f>D.5!J70</f>
        <v>4792462.0100000007</v>
      </c>
      <c r="G18" s="433"/>
      <c r="H18" s="464">
        <f>D.5!N70</f>
        <v>4165875.6599999997</v>
      </c>
      <c r="I18" s="385"/>
      <c r="J18" s="612"/>
      <c r="K18" s="385"/>
      <c r="L18" s="392"/>
      <c r="M18" s="462"/>
      <c r="N18" s="461"/>
    </row>
    <row r="19" spans="1:15" ht="15">
      <c r="A19" s="381" t="s">
        <v>321</v>
      </c>
      <c r="B19" s="385" t="s">
        <v>521</v>
      </c>
      <c r="C19" s="381" t="s">
        <v>242</v>
      </c>
      <c r="D19" s="404">
        <v>0</v>
      </c>
      <c r="E19" s="463"/>
      <c r="F19" s="404">
        <v>0</v>
      </c>
      <c r="G19" s="463"/>
      <c r="H19" s="404">
        <v>0</v>
      </c>
      <c r="I19" s="385"/>
      <c r="J19" s="429"/>
      <c r="K19" s="385"/>
      <c r="L19" s="392"/>
      <c r="M19" s="462"/>
      <c r="N19" s="461"/>
    </row>
    <row r="20" spans="1:15" ht="15">
      <c r="A20" s="381" t="s">
        <v>319</v>
      </c>
      <c r="B20" s="385" t="s">
        <v>501</v>
      </c>
      <c r="C20" s="385"/>
      <c r="D20" s="404"/>
      <c r="E20" s="463"/>
      <c r="F20" s="404"/>
      <c r="G20" s="599"/>
      <c r="H20" s="404"/>
      <c r="I20" s="385"/>
      <c r="J20" s="429"/>
      <c r="K20" s="385"/>
      <c r="L20" s="385"/>
      <c r="M20" s="462"/>
      <c r="N20" s="461"/>
    </row>
    <row r="21" spans="1:15" ht="15">
      <c r="A21" s="381" t="s">
        <v>318</v>
      </c>
      <c r="B21" s="385" t="s">
        <v>500</v>
      </c>
      <c r="C21" s="381" t="s">
        <v>242</v>
      </c>
      <c r="D21" s="438"/>
      <c r="E21" s="463"/>
      <c r="F21" s="438"/>
      <c r="G21" s="599"/>
      <c r="H21" s="438"/>
      <c r="I21" s="385"/>
      <c r="J21" s="429"/>
      <c r="K21" s="385"/>
      <c r="L21" s="385"/>
      <c r="M21" s="462"/>
      <c r="N21" s="461"/>
    </row>
    <row r="22" spans="1:15" ht="15">
      <c r="A22" s="381" t="s">
        <v>317</v>
      </c>
      <c r="B22" s="385" t="s">
        <v>499</v>
      </c>
      <c r="C22" s="381" t="s">
        <v>242</v>
      </c>
      <c r="D22" s="438"/>
      <c r="E22" s="463"/>
      <c r="F22" s="438"/>
      <c r="G22" s="599"/>
      <c r="H22" s="438"/>
      <c r="I22" s="385"/>
      <c r="J22" s="429"/>
      <c r="K22" s="385"/>
      <c r="L22" s="385"/>
      <c r="M22" s="462"/>
      <c r="N22" s="461"/>
    </row>
    <row r="23" spans="1:15" ht="15">
      <c r="A23" s="381" t="s">
        <v>315</v>
      </c>
      <c r="B23" s="385" t="s">
        <v>520</v>
      </c>
      <c r="C23" s="381" t="s">
        <v>242</v>
      </c>
      <c r="D23" s="818">
        <v>122500</v>
      </c>
      <c r="E23" s="463"/>
      <c r="F23" s="818">
        <v>122500</v>
      </c>
      <c r="G23" s="438"/>
      <c r="H23" s="818">
        <v>122500</v>
      </c>
      <c r="I23" s="385"/>
      <c r="J23" s="429"/>
      <c r="K23" s="385"/>
      <c r="L23" s="385"/>
      <c r="M23" s="462"/>
      <c r="N23" s="461"/>
    </row>
    <row r="24" spans="1:15" ht="15">
      <c r="A24" s="381" t="s">
        <v>313</v>
      </c>
      <c r="B24" s="385" t="s">
        <v>498</v>
      </c>
      <c r="C24" s="385"/>
      <c r="D24" s="826"/>
      <c r="E24" s="463"/>
      <c r="F24" s="826"/>
      <c r="G24" s="599"/>
      <c r="H24" s="826"/>
      <c r="I24" s="385"/>
      <c r="J24" s="429"/>
      <c r="K24" s="385"/>
      <c r="L24" s="385"/>
      <c r="M24" s="462"/>
      <c r="N24" s="461"/>
    </row>
    <row r="25" spans="1:15" ht="15">
      <c r="A25" s="381" t="s">
        <v>311</v>
      </c>
      <c r="B25" s="385" t="s">
        <v>312</v>
      </c>
      <c r="C25" s="381" t="s">
        <v>242</v>
      </c>
      <c r="D25" s="818">
        <v>0</v>
      </c>
      <c r="E25" s="463"/>
      <c r="F25" s="818">
        <v>0</v>
      </c>
      <c r="G25" s="599"/>
      <c r="H25" s="818">
        <v>3675.16</v>
      </c>
      <c r="I25" s="385"/>
      <c r="J25" s="429"/>
      <c r="K25" s="385"/>
      <c r="L25" s="385"/>
      <c r="M25" s="462"/>
      <c r="N25" s="461"/>
    </row>
    <row r="26" spans="1:15" ht="15">
      <c r="A26" s="381" t="s">
        <v>309</v>
      </c>
      <c r="B26" s="385" t="s">
        <v>355</v>
      </c>
      <c r="C26" s="381" t="s">
        <v>242</v>
      </c>
      <c r="D26" s="818">
        <v>-2027059.2</v>
      </c>
      <c r="E26" s="463"/>
      <c r="F26" s="818">
        <v>-2178815.0499999998</v>
      </c>
      <c r="G26" s="599"/>
      <c r="H26" s="818">
        <v>-2188764.84</v>
      </c>
      <c r="I26" s="385"/>
      <c r="J26" s="608"/>
      <c r="K26" s="385"/>
      <c r="L26" s="385"/>
      <c r="M26" s="462"/>
      <c r="N26" s="461"/>
    </row>
    <row r="27" spans="1:15" ht="15">
      <c r="A27" s="381" t="s">
        <v>307</v>
      </c>
      <c r="B27" s="385" t="s">
        <v>497</v>
      </c>
      <c r="C27" s="381" t="s">
        <v>242</v>
      </c>
      <c r="D27" s="819">
        <v>5792.12</v>
      </c>
      <c r="E27" s="463"/>
      <c r="F27" s="819">
        <v>5654.6</v>
      </c>
      <c r="G27" s="599"/>
      <c r="H27" s="819">
        <v>5582.17</v>
      </c>
      <c r="I27" s="385"/>
      <c r="J27" s="429"/>
      <c r="K27" s="385"/>
      <c r="L27" s="385"/>
      <c r="M27" s="462"/>
      <c r="N27" s="461"/>
    </row>
    <row r="28" spans="1:15" ht="15">
      <c r="A28" s="381" t="s">
        <v>304</v>
      </c>
      <c r="B28" s="385" t="s">
        <v>496</v>
      </c>
      <c r="C28" s="381" t="s">
        <v>242</v>
      </c>
      <c r="D28" s="818">
        <v>-880.49</v>
      </c>
      <c r="E28" s="463"/>
      <c r="F28" s="818">
        <v>-2487.39</v>
      </c>
      <c r="G28" s="599"/>
      <c r="H28" s="818">
        <f>+-1631.6</f>
        <v>-1631.6</v>
      </c>
      <c r="I28" s="385"/>
      <c r="J28" s="609"/>
      <c r="K28" s="385"/>
      <c r="L28" s="385"/>
      <c r="M28" s="462"/>
      <c r="N28" s="461"/>
    </row>
    <row r="29" spans="1:15" ht="15">
      <c r="A29" s="381" t="s">
        <v>303</v>
      </c>
      <c r="B29" s="385" t="s">
        <v>495</v>
      </c>
      <c r="C29" s="381" t="s">
        <v>242</v>
      </c>
      <c r="D29" s="818"/>
      <c r="E29" s="463"/>
      <c r="F29" s="818"/>
      <c r="G29" s="599"/>
      <c r="H29" s="818"/>
      <c r="I29" s="385"/>
      <c r="J29" s="429"/>
      <c r="K29" s="385"/>
      <c r="L29" s="385"/>
      <c r="M29" s="462"/>
      <c r="N29" s="461"/>
    </row>
    <row r="30" spans="1:15" ht="16.5">
      <c r="A30" s="381" t="s">
        <v>302</v>
      </c>
      <c r="B30" s="385" t="s">
        <v>494</v>
      </c>
      <c r="C30" s="381" t="s">
        <v>242</v>
      </c>
      <c r="D30" s="820">
        <f>+-987004.77+115892.11+20.1+-42125</f>
        <v>-913217.56</v>
      </c>
      <c r="E30" s="463"/>
      <c r="F30" s="820">
        <f>-1232655.36+-2773.68+0+0+-42125</f>
        <v>-1277554.04</v>
      </c>
      <c r="G30" s="599"/>
      <c r="H30" s="820">
        <f>+-797043.91+-25184.99+-42125</f>
        <v>-864353.9</v>
      </c>
      <c r="I30" s="385"/>
      <c r="J30" s="429"/>
      <c r="K30" s="385"/>
      <c r="L30" s="610"/>
      <c r="M30" s="611"/>
    </row>
    <row r="31" spans="1:15" ht="15.75">
      <c r="A31" s="381" t="s">
        <v>301</v>
      </c>
      <c r="B31" s="383" t="s">
        <v>519</v>
      </c>
      <c r="C31" s="381" t="s">
        <v>242</v>
      </c>
      <c r="D31" s="464">
        <f>SUM(D17:D30)</f>
        <v>2829673.48</v>
      </c>
      <c r="E31" s="433"/>
      <c r="F31" s="464">
        <f>SUM(F17:F30)</f>
        <v>2925871.3900000015</v>
      </c>
      <c r="G31" s="433"/>
      <c r="H31" s="464">
        <f>SUM(H17:H30)</f>
        <v>2689152.5699999994</v>
      </c>
      <c r="I31" s="385"/>
      <c r="J31" s="457"/>
      <c r="K31" s="385"/>
      <c r="L31" s="385"/>
      <c r="M31" s="456"/>
      <c r="N31" s="382"/>
      <c r="O31" s="382"/>
    </row>
    <row r="32" spans="1:15" ht="15">
      <c r="A32" s="381" t="s">
        <v>266</v>
      </c>
      <c r="B32" s="385" t="s">
        <v>518</v>
      </c>
      <c r="C32" s="385"/>
      <c r="D32" s="392"/>
      <c r="F32" s="464"/>
      <c r="G32" s="385"/>
      <c r="H32" s="392"/>
      <c r="I32" s="385"/>
      <c r="J32" s="429"/>
      <c r="K32" s="385"/>
      <c r="L32" s="385"/>
      <c r="M32" s="403"/>
      <c r="N32" s="403"/>
      <c r="O32" s="403"/>
    </row>
    <row r="33" spans="1:13" ht="15">
      <c r="A33" s="381" t="s">
        <v>299</v>
      </c>
      <c r="B33" s="385" t="s">
        <v>492</v>
      </c>
      <c r="C33" s="381" t="s">
        <v>242</v>
      </c>
      <c r="D33" s="460"/>
      <c r="E33" s="385"/>
      <c r="F33" s="601"/>
      <c r="G33" s="436"/>
      <c r="H33" s="459"/>
      <c r="I33" s="385"/>
      <c r="J33" s="429"/>
      <c r="K33" s="385"/>
      <c r="L33" s="385"/>
      <c r="M33" s="385"/>
    </row>
    <row r="34" spans="1:13" ht="15">
      <c r="A34" s="381" t="s">
        <v>298</v>
      </c>
      <c r="B34" s="385" t="s">
        <v>491</v>
      </c>
      <c r="C34" s="381" t="s">
        <v>242</v>
      </c>
      <c r="D34" s="821">
        <v>0</v>
      </c>
      <c r="E34" s="822"/>
      <c r="F34" s="818"/>
      <c r="G34" s="823"/>
      <c r="H34" s="821"/>
      <c r="I34" s="385"/>
      <c r="J34" s="429"/>
      <c r="K34" s="385"/>
      <c r="L34" s="385"/>
      <c r="M34" s="385"/>
    </row>
    <row r="35" spans="1:13" ht="15">
      <c r="A35" s="381" t="s">
        <v>296</v>
      </c>
      <c r="B35" s="385" t="s">
        <v>517</v>
      </c>
      <c r="C35" s="381" t="s">
        <v>242</v>
      </c>
      <c r="D35" s="824">
        <v>0</v>
      </c>
      <c r="E35" s="822"/>
      <c r="F35" s="820"/>
      <c r="G35" s="823"/>
      <c r="H35" s="824"/>
      <c r="I35" s="385"/>
      <c r="J35" s="429"/>
      <c r="K35" s="385"/>
      <c r="L35" s="385"/>
      <c r="M35" s="456"/>
    </row>
    <row r="36" spans="1:13" ht="15.75" thickBot="1">
      <c r="A36" s="381" t="s">
        <v>295</v>
      </c>
      <c r="B36" s="383" t="s">
        <v>516</v>
      </c>
      <c r="C36" s="381" t="s">
        <v>242</v>
      </c>
      <c r="D36" s="458">
        <f>D31+D33+D34+D35</f>
        <v>2829673.48</v>
      </c>
      <c r="E36" s="433"/>
      <c r="F36" s="458">
        <f>F31+F33+F34+F35</f>
        <v>2925871.3900000015</v>
      </c>
      <c r="G36" s="385"/>
      <c r="H36" s="458">
        <f>H31+H33+H34+H35</f>
        <v>2689152.5699999994</v>
      </c>
      <c r="I36" s="385"/>
      <c r="J36" s="595"/>
      <c r="K36" s="385"/>
      <c r="L36" s="403"/>
      <c r="M36" s="456"/>
    </row>
    <row r="37" spans="1:13" ht="15.75" thickTop="1">
      <c r="A37" s="385"/>
      <c r="B37" s="385"/>
      <c r="C37" s="385"/>
      <c r="D37" s="392"/>
      <c r="E37" s="392"/>
      <c r="F37" s="392"/>
      <c r="G37" s="385"/>
      <c r="H37" s="392"/>
      <c r="I37" s="385"/>
      <c r="J37" s="429"/>
      <c r="K37" s="385"/>
      <c r="L37" s="392"/>
      <c r="M37" s="456"/>
    </row>
    <row r="38" spans="1:13" ht="16.5">
      <c r="A38" s="385"/>
      <c r="B38" s="426" t="s">
        <v>515</v>
      </c>
      <c r="C38" s="385"/>
      <c r="D38" s="385"/>
      <c r="E38" s="385"/>
      <c r="F38" s="385"/>
      <c r="G38" s="385"/>
      <c r="H38" s="385"/>
      <c r="I38" s="385"/>
      <c r="J38" s="385"/>
      <c r="K38" s="385"/>
      <c r="L38" s="385"/>
      <c r="M38" s="398"/>
    </row>
    <row r="39" spans="1:13" ht="16.5">
      <c r="A39" s="385"/>
      <c r="B39" s="426" t="s">
        <v>514</v>
      </c>
      <c r="C39" s="385"/>
      <c r="D39" s="385"/>
      <c r="E39" s="385"/>
      <c r="F39" s="385"/>
      <c r="G39" s="385"/>
      <c r="H39" s="385"/>
      <c r="I39" s="385"/>
      <c r="J39" s="385"/>
      <c r="K39" s="385"/>
      <c r="L39" s="385"/>
      <c r="M39" s="456"/>
    </row>
    <row r="40" spans="1:13">
      <c r="A40" s="385"/>
      <c r="B40" s="455" t="s">
        <v>486</v>
      </c>
      <c r="C40" s="385"/>
      <c r="D40" s="385"/>
      <c r="E40" s="385"/>
      <c r="F40" s="385"/>
      <c r="G40" s="385"/>
      <c r="H40" s="385"/>
      <c r="I40" s="385"/>
      <c r="J40" s="385"/>
      <c r="K40" s="385"/>
      <c r="L40" s="385"/>
      <c r="M40" s="385"/>
    </row>
    <row r="41" spans="1:13">
      <c r="A41" s="381"/>
      <c r="B41" s="385"/>
      <c r="C41" s="385"/>
      <c r="D41" s="385"/>
      <c r="E41" s="385"/>
      <c r="F41" s="392"/>
      <c r="G41" s="385"/>
      <c r="H41" s="606"/>
      <c r="I41" s="385"/>
      <c r="J41" s="385"/>
      <c r="K41" s="385"/>
      <c r="L41" s="385"/>
      <c r="M41" s="605"/>
    </row>
    <row r="42" spans="1:13">
      <c r="A42" s="381"/>
      <c r="B42" s="385"/>
      <c r="C42" s="385"/>
      <c r="D42" s="385"/>
      <c r="E42" s="385"/>
      <c r="F42" s="403"/>
      <c r="G42" s="385"/>
      <c r="H42" s="428"/>
      <c r="I42" s="385"/>
      <c r="J42" s="385"/>
      <c r="K42" s="385"/>
      <c r="L42" s="385"/>
      <c r="M42" s="385"/>
    </row>
    <row r="43" spans="1:13">
      <c r="A43" s="381"/>
      <c r="B43" s="436"/>
      <c r="C43" s="385"/>
      <c r="D43" s="398"/>
      <c r="F43" s="454"/>
      <c r="M43" s="385"/>
    </row>
    <row r="44" spans="1:13">
      <c r="A44" s="381"/>
      <c r="B44" s="385"/>
      <c r="C44" s="385"/>
      <c r="M44" s="385"/>
    </row>
    <row r="45" spans="1:13">
      <c r="A45" s="381"/>
      <c r="B45" s="385"/>
      <c r="C45" s="385"/>
      <c r="M45" s="385"/>
    </row>
    <row r="46" spans="1:13">
      <c r="A46" s="385"/>
      <c r="B46" s="385"/>
      <c r="C46" s="385"/>
      <c r="M46" s="385"/>
    </row>
    <row r="47" spans="1:13">
      <c r="A47" s="385"/>
      <c r="B47" s="385"/>
      <c r="C47" s="385"/>
      <c r="M47" s="385"/>
    </row>
    <row r="48" spans="1:13">
      <c r="A48" s="385"/>
      <c r="B48" s="385"/>
      <c r="C48" s="385"/>
      <c r="D48" s="381"/>
      <c r="E48" s="385"/>
      <c r="F48" s="385"/>
      <c r="G48" s="385"/>
      <c r="H48" s="385"/>
      <c r="I48" s="385"/>
      <c r="J48" s="385"/>
      <c r="K48" s="385"/>
      <c r="L48" s="448"/>
      <c r="M48" s="385"/>
    </row>
    <row r="49" spans="1:13">
      <c r="A49" s="381"/>
      <c r="B49" s="381"/>
      <c r="C49" s="385"/>
      <c r="D49" s="381"/>
      <c r="E49" s="385"/>
      <c r="F49" s="381"/>
      <c r="G49" s="385"/>
      <c r="H49" s="381"/>
      <c r="I49" s="385"/>
      <c r="J49" s="381"/>
      <c r="K49" s="385"/>
      <c r="L49" s="448"/>
      <c r="M49" s="385"/>
    </row>
    <row r="50" spans="1:13">
      <c r="A50" s="381"/>
      <c r="B50" s="385"/>
      <c r="C50" s="385"/>
      <c r="D50" s="403"/>
      <c r="E50" s="385"/>
      <c r="F50" s="403"/>
      <c r="G50" s="403"/>
      <c r="H50" s="403"/>
      <c r="I50" s="403"/>
      <c r="J50" s="403"/>
      <c r="K50" s="385"/>
      <c r="L50" s="385"/>
      <c r="M50" s="385"/>
    </row>
    <row r="51" spans="1:13">
      <c r="A51" s="381"/>
      <c r="B51" s="385"/>
      <c r="C51" s="385"/>
      <c r="D51" s="403"/>
      <c r="E51" s="385"/>
      <c r="F51" s="403"/>
      <c r="G51" s="403"/>
      <c r="H51" s="403"/>
      <c r="I51" s="403"/>
      <c r="J51" s="403"/>
      <c r="K51" s="385"/>
      <c r="L51" s="385"/>
      <c r="M51" s="385"/>
    </row>
    <row r="52" spans="1:13">
      <c r="A52" s="381"/>
      <c r="B52" s="385"/>
      <c r="C52" s="381"/>
      <c r="D52" s="453"/>
      <c r="E52" s="436"/>
      <c r="F52" s="453"/>
      <c r="G52" s="453"/>
      <c r="H52" s="453"/>
      <c r="I52" s="436"/>
      <c r="J52" s="453"/>
      <c r="K52" s="385"/>
      <c r="L52" s="385"/>
      <c r="M52" s="385"/>
    </row>
    <row r="53" spans="1:13">
      <c r="A53" s="381"/>
      <c r="B53" s="385"/>
      <c r="C53" s="381"/>
      <c r="D53" s="453"/>
      <c r="E53" s="436"/>
      <c r="F53" s="453"/>
      <c r="G53" s="453"/>
      <c r="H53" s="453"/>
      <c r="I53" s="436"/>
      <c r="J53" s="453"/>
      <c r="K53" s="385"/>
      <c r="L53" s="385"/>
      <c r="M53" s="385"/>
    </row>
    <row r="54" spans="1:13">
      <c r="A54" s="381"/>
      <c r="B54" s="385"/>
      <c r="C54" s="381"/>
      <c r="D54" s="403"/>
      <c r="E54" s="385"/>
      <c r="F54" s="403"/>
      <c r="G54" s="403"/>
      <c r="H54" s="403"/>
      <c r="I54" s="385"/>
      <c r="J54" s="403"/>
      <c r="K54" s="385"/>
      <c r="L54" s="392"/>
      <c r="M54" s="385"/>
    </row>
    <row r="55" spans="1:13">
      <c r="A55" s="381"/>
      <c r="B55" s="385"/>
      <c r="C55" s="381"/>
      <c r="D55" s="403"/>
      <c r="E55" s="385"/>
      <c r="F55" s="403"/>
      <c r="G55" s="403"/>
      <c r="H55" s="403"/>
      <c r="I55" s="385"/>
      <c r="J55" s="403"/>
      <c r="K55" s="385"/>
      <c r="L55" s="392"/>
      <c r="M55" s="385"/>
    </row>
    <row r="56" spans="1:13">
      <c r="A56" s="381"/>
      <c r="B56" s="385"/>
      <c r="C56" s="385"/>
      <c r="D56" s="385"/>
      <c r="E56" s="385"/>
      <c r="F56" s="385"/>
      <c r="G56" s="385"/>
      <c r="H56" s="385"/>
      <c r="I56" s="385"/>
      <c r="J56" s="385"/>
      <c r="K56" s="385"/>
      <c r="L56" s="385"/>
      <c r="M56" s="385"/>
    </row>
    <row r="57" spans="1:13">
      <c r="A57" s="381"/>
      <c r="B57" s="385"/>
      <c r="C57" s="381"/>
      <c r="D57" s="453"/>
      <c r="E57" s="385"/>
      <c r="F57" s="453"/>
      <c r="G57" s="436"/>
      <c r="H57" s="453"/>
      <c r="I57" s="385"/>
      <c r="J57" s="453"/>
      <c r="K57" s="385"/>
      <c r="L57" s="385"/>
      <c r="M57" s="385"/>
    </row>
    <row r="58" spans="1:13">
      <c r="A58" s="381"/>
      <c r="B58" s="385"/>
      <c r="C58" s="381"/>
      <c r="D58" s="453"/>
      <c r="E58" s="385"/>
      <c r="F58" s="453"/>
      <c r="G58" s="436"/>
      <c r="H58" s="453"/>
      <c r="I58" s="385"/>
      <c r="J58" s="453"/>
      <c r="K58" s="385"/>
      <c r="L58" s="385"/>
      <c r="M58" s="385"/>
    </row>
    <row r="59" spans="1:13">
      <c r="A59" s="381"/>
      <c r="B59" s="385"/>
      <c r="C59" s="385"/>
      <c r="D59" s="403"/>
      <c r="E59" s="385"/>
      <c r="F59" s="437"/>
      <c r="G59" s="436"/>
      <c r="H59" s="453"/>
      <c r="I59" s="385"/>
      <c r="J59" s="453"/>
      <c r="K59" s="385"/>
      <c r="L59" s="385"/>
      <c r="M59" s="385"/>
    </row>
    <row r="60" spans="1:13">
      <c r="A60" s="381"/>
      <c r="B60" s="385"/>
      <c r="C60" s="381"/>
      <c r="D60" s="453"/>
      <c r="E60" s="385"/>
      <c r="F60" s="453"/>
      <c r="G60" s="436"/>
      <c r="H60" s="453"/>
      <c r="I60" s="385"/>
      <c r="J60" s="453"/>
      <c r="K60" s="385"/>
      <c r="L60" s="385"/>
      <c r="M60" s="385"/>
    </row>
    <row r="61" spans="1:13">
      <c r="A61" s="381"/>
      <c r="B61" s="385"/>
      <c r="C61" s="381"/>
      <c r="D61" s="453"/>
      <c r="E61" s="385"/>
      <c r="F61" s="453"/>
      <c r="G61" s="436"/>
      <c r="H61" s="453"/>
      <c r="I61" s="385"/>
      <c r="J61" s="453"/>
      <c r="K61" s="385"/>
      <c r="L61" s="385"/>
      <c r="M61" s="385"/>
    </row>
    <row r="62" spans="1:13">
      <c r="A62" s="381"/>
      <c r="B62" s="385"/>
      <c r="C62" s="381"/>
      <c r="D62" s="453"/>
      <c r="E62" s="385"/>
      <c r="F62" s="453"/>
      <c r="G62" s="436"/>
      <c r="H62" s="453"/>
      <c r="I62" s="385"/>
      <c r="J62" s="453"/>
      <c r="K62" s="385"/>
      <c r="L62" s="385"/>
      <c r="M62" s="385"/>
    </row>
    <row r="63" spans="1:13">
      <c r="A63" s="381"/>
      <c r="B63" s="385"/>
      <c r="C63" s="381"/>
      <c r="D63" s="403"/>
      <c r="E63" s="385"/>
      <c r="F63" s="403"/>
      <c r="G63" s="385"/>
      <c r="H63" s="403"/>
      <c r="I63" s="385"/>
      <c r="J63" s="403"/>
      <c r="K63" s="385"/>
      <c r="L63" s="385"/>
      <c r="M63" s="385"/>
    </row>
    <row r="64" spans="1:13">
      <c r="A64" s="381"/>
      <c r="B64" s="385"/>
      <c r="C64" s="381"/>
      <c r="D64" s="453"/>
      <c r="E64" s="385"/>
      <c r="F64" s="453"/>
      <c r="G64" s="436"/>
      <c r="H64" s="453"/>
      <c r="I64" s="385"/>
      <c r="J64" s="453"/>
      <c r="K64" s="385"/>
      <c r="L64" s="385"/>
      <c r="M64" s="385"/>
    </row>
    <row r="65" spans="1:13">
      <c r="A65" s="381"/>
      <c r="B65" s="385"/>
      <c r="C65" s="381"/>
      <c r="D65" s="403"/>
      <c r="E65" s="385"/>
      <c r="F65" s="403"/>
      <c r="G65" s="385"/>
      <c r="H65" s="403"/>
      <c r="I65" s="385"/>
      <c r="J65" s="403"/>
      <c r="K65" s="385"/>
      <c r="L65" s="385"/>
      <c r="M65" s="385"/>
    </row>
    <row r="66" spans="1:13">
      <c r="A66" s="385"/>
      <c r="B66" s="385"/>
      <c r="C66" s="385"/>
      <c r="D66" s="385"/>
      <c r="E66" s="385"/>
      <c r="F66" s="403"/>
      <c r="G66" s="385"/>
      <c r="H66" s="385"/>
      <c r="I66" s="385"/>
      <c r="J66" s="385"/>
      <c r="K66" s="385"/>
      <c r="L66" s="385"/>
      <c r="M66" s="385"/>
    </row>
    <row r="67" spans="1:13">
      <c r="A67" s="381"/>
      <c r="B67" s="385"/>
      <c r="C67" s="381"/>
      <c r="D67" s="453"/>
      <c r="E67" s="385"/>
      <c r="F67" s="453"/>
      <c r="G67" s="436"/>
      <c r="H67" s="453"/>
      <c r="I67" s="385"/>
      <c r="J67" s="453"/>
      <c r="K67" s="385"/>
      <c r="L67" s="385"/>
      <c r="M67" s="385"/>
    </row>
    <row r="68" spans="1:13">
      <c r="A68" s="381"/>
      <c r="B68" s="385"/>
      <c r="C68" s="381"/>
      <c r="D68" s="453"/>
      <c r="E68" s="385"/>
      <c r="F68" s="453"/>
      <c r="G68" s="436"/>
      <c r="H68" s="453"/>
      <c r="I68" s="385"/>
      <c r="J68" s="453"/>
      <c r="K68" s="385"/>
      <c r="L68" s="385"/>
      <c r="M68" s="385"/>
    </row>
    <row r="69" spans="1:13">
      <c r="A69" s="385"/>
      <c r="B69" s="385"/>
      <c r="C69" s="385"/>
      <c r="D69" s="453"/>
      <c r="E69" s="385"/>
      <c r="F69" s="453"/>
      <c r="G69" s="436"/>
      <c r="H69" s="453"/>
      <c r="I69" s="385"/>
      <c r="J69" s="453"/>
      <c r="K69" s="385"/>
      <c r="L69" s="385"/>
      <c r="M69" s="385"/>
    </row>
    <row r="70" spans="1:13">
      <c r="A70" s="451"/>
      <c r="B70" s="385"/>
      <c r="C70" s="381"/>
      <c r="D70" s="453"/>
      <c r="E70" s="385"/>
      <c r="F70" s="453"/>
      <c r="G70" s="436"/>
      <c r="H70" s="453"/>
      <c r="I70" s="385"/>
      <c r="J70" s="453"/>
      <c r="K70" s="385"/>
      <c r="L70" s="385"/>
      <c r="M70" s="385"/>
    </row>
    <row r="71" spans="1:13">
      <c r="A71" s="385"/>
      <c r="B71" s="385"/>
      <c r="C71" s="385"/>
      <c r="D71" s="403"/>
      <c r="E71" s="385"/>
      <c r="F71" s="392"/>
      <c r="G71" s="392"/>
      <c r="H71" s="392"/>
      <c r="I71" s="385"/>
      <c r="J71" s="392"/>
      <c r="K71" s="385"/>
      <c r="L71" s="385"/>
      <c r="M71" s="385"/>
    </row>
    <row r="72" spans="1:13">
      <c r="A72" s="381"/>
      <c r="B72" s="385"/>
      <c r="C72" s="381"/>
      <c r="D72" s="403"/>
      <c r="E72" s="385"/>
      <c r="F72" s="403"/>
      <c r="G72" s="392"/>
      <c r="H72" s="403"/>
      <c r="I72" s="385"/>
      <c r="J72" s="403"/>
      <c r="K72" s="385"/>
      <c r="L72" s="385"/>
      <c r="M72" s="385"/>
    </row>
    <row r="73" spans="1:13">
      <c r="A73" s="385"/>
      <c r="B73" s="385"/>
      <c r="C73" s="385"/>
      <c r="D73" s="405"/>
      <c r="E73" s="385"/>
      <c r="F73" s="403"/>
      <c r="G73" s="385"/>
      <c r="H73" s="403"/>
      <c r="I73" s="385"/>
      <c r="J73" s="403"/>
      <c r="K73" s="385"/>
      <c r="L73" s="385"/>
      <c r="M73" s="385"/>
    </row>
    <row r="74" spans="1:13">
      <c r="A74" s="385"/>
      <c r="B74" s="385"/>
      <c r="C74" s="385"/>
      <c r="D74" s="385"/>
      <c r="E74" s="385"/>
      <c r="F74" s="385"/>
      <c r="G74" s="385"/>
      <c r="H74" s="385"/>
      <c r="I74" s="385"/>
      <c r="J74" s="385"/>
      <c r="K74" s="385"/>
      <c r="L74" s="385"/>
      <c r="M74" s="385"/>
    </row>
    <row r="75" spans="1:13">
      <c r="A75" s="385"/>
      <c r="B75" s="385"/>
      <c r="C75" s="385"/>
      <c r="D75" s="385"/>
      <c r="E75" s="385"/>
      <c r="F75" s="385"/>
      <c r="G75" s="385"/>
      <c r="H75" s="385"/>
      <c r="I75" s="385"/>
      <c r="J75" s="385"/>
      <c r="K75" s="385"/>
      <c r="L75" s="385"/>
      <c r="M75" s="385"/>
    </row>
    <row r="93" spans="6:6">
      <c r="F93" s="453"/>
    </row>
  </sheetData>
  <mergeCells count="1">
    <mergeCell ref="A3:D3"/>
  </mergeCells>
  <printOptions horizontalCentered="1"/>
  <pageMargins left="0.5" right="0.21" top="0.5" bottom="0.5" header="0.5" footer="0.5"/>
  <pageSetup scale="96" orientation="portrait" r:id="rId1"/>
  <headerFooter alignWithMargins="0"/>
  <customProperties>
    <customPr name="_pios_id" r:id="rId2"/>
  </customProperties>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3">
    <pageSetUpPr fitToPage="1"/>
  </sheetPr>
  <dimension ref="A1:R108"/>
  <sheetViews>
    <sheetView showGridLines="0" zoomScale="80" zoomScaleNormal="80" workbookViewId="0">
      <selection activeCell="E33" sqref="E33"/>
    </sheetView>
  </sheetViews>
  <sheetFormatPr defaultColWidth="12.5703125" defaultRowHeight="15"/>
  <cols>
    <col min="1" max="1" width="7" style="380" customWidth="1"/>
    <col min="2" max="2" width="19.140625" style="380" customWidth="1"/>
    <col min="3" max="3" width="28.140625" style="380" customWidth="1"/>
    <col min="4" max="4" width="17" style="380" customWidth="1"/>
    <col min="5" max="5" width="12.7109375" style="380" bestFit="1" customWidth="1"/>
    <col min="6" max="6" width="17" style="380" bestFit="1" customWidth="1"/>
    <col min="7" max="7" width="12.140625" style="380" bestFit="1" customWidth="1"/>
    <col min="8" max="8" width="18.140625" style="380" customWidth="1"/>
    <col min="9" max="9" width="12" style="380" bestFit="1" customWidth="1"/>
    <col min="10" max="10" width="18.7109375" style="469" customWidth="1"/>
    <col min="11" max="11" width="13.140625" style="380" bestFit="1" customWidth="1"/>
    <col min="12" max="12" width="19.42578125" style="380" customWidth="1"/>
    <col min="13" max="13" width="2.5703125" style="429" customWidth="1"/>
    <col min="14" max="14" width="19" style="380" customWidth="1"/>
    <col min="15" max="15" width="18.42578125" style="380" customWidth="1"/>
    <col min="16" max="16" width="30.28515625" style="380" bestFit="1" customWidth="1"/>
    <col min="17" max="17" width="7.42578125" style="380" bestFit="1" customWidth="1"/>
    <col min="18" max="18" width="18.140625" style="380" bestFit="1" customWidth="1"/>
    <col min="19" max="16384" width="12.5703125" style="380"/>
  </cols>
  <sheetData>
    <row r="1" spans="1:18" ht="15.75">
      <c r="A1" s="423" t="s">
        <v>51</v>
      </c>
      <c r="B1" s="451"/>
      <c r="C1" s="385"/>
      <c r="D1" s="385"/>
      <c r="E1" s="385"/>
      <c r="I1" s="385"/>
      <c r="J1" s="486"/>
      <c r="K1" s="385"/>
      <c r="N1" s="385" t="s">
        <v>485</v>
      </c>
    </row>
    <row r="2" spans="1:18">
      <c r="A2" s="420" t="s">
        <v>548</v>
      </c>
      <c r="B2" s="451"/>
      <c r="C2" s="385"/>
      <c r="D2" s="385"/>
      <c r="E2" s="385"/>
      <c r="I2" s="385"/>
      <c r="J2" s="486"/>
      <c r="K2" s="385"/>
      <c r="N2" s="385" t="s">
        <v>547</v>
      </c>
    </row>
    <row r="3" spans="1:18">
      <c r="A3" s="1131">
        <f>D.1!A3:D3</f>
        <v>42186</v>
      </c>
      <c r="B3" s="1131"/>
      <c r="C3" s="1131"/>
      <c r="D3" s="1131"/>
      <c r="E3" s="385"/>
      <c r="F3" s="385"/>
      <c r="G3" s="385"/>
      <c r="H3" s="385"/>
      <c r="I3" s="385"/>
      <c r="J3" s="486"/>
      <c r="K3" s="385"/>
    </row>
    <row r="4" spans="1:18">
      <c r="A4" s="420" t="str">
        <f>D.1!A4</f>
        <v>2015-00000</v>
      </c>
      <c r="B4" s="385"/>
      <c r="C4" s="385"/>
      <c r="D4" s="385"/>
      <c r="E4" s="385"/>
      <c r="F4" s="385"/>
      <c r="G4" s="385"/>
      <c r="H4" s="385"/>
      <c r="I4" s="385"/>
      <c r="J4" s="486"/>
      <c r="K4" s="385"/>
    </row>
    <row r="5" spans="1:18" ht="17.25" customHeight="1">
      <c r="A5" s="420"/>
      <c r="B5" s="385"/>
      <c r="C5" s="385"/>
      <c r="D5" s="381" t="s">
        <v>46</v>
      </c>
      <c r="E5" s="381" t="s">
        <v>45</v>
      </c>
      <c r="F5" s="381" t="s">
        <v>44</v>
      </c>
      <c r="G5" s="381" t="s">
        <v>252</v>
      </c>
      <c r="H5" s="381" t="s">
        <v>251</v>
      </c>
      <c r="I5" s="448" t="s">
        <v>335</v>
      </c>
      <c r="J5" s="434" t="s">
        <v>482</v>
      </c>
      <c r="K5" s="434" t="s">
        <v>546</v>
      </c>
      <c r="L5" s="434" t="s">
        <v>545</v>
      </c>
      <c r="N5" s="434" t="s">
        <v>544</v>
      </c>
      <c r="O5" s="392"/>
      <c r="P5" s="381"/>
    </row>
    <row r="6" spans="1:18" ht="15" customHeight="1">
      <c r="A6" s="381" t="s">
        <v>43</v>
      </c>
      <c r="B6" s="385"/>
      <c r="C6" s="385"/>
      <c r="D6" s="385"/>
      <c r="E6" s="381" t="s">
        <v>543</v>
      </c>
      <c r="F6" s="381" t="s">
        <v>543</v>
      </c>
      <c r="G6" s="381" t="s">
        <v>17</v>
      </c>
      <c r="H6" s="381" t="s">
        <v>17</v>
      </c>
      <c r="I6" s="434" t="s">
        <v>542</v>
      </c>
      <c r="J6" s="487" t="s">
        <v>541</v>
      </c>
      <c r="K6" s="590" t="s">
        <v>1051</v>
      </c>
      <c r="L6" s="1051" t="s">
        <v>1052</v>
      </c>
      <c r="N6" s="434" t="s">
        <v>245</v>
      </c>
    </row>
    <row r="7" spans="1:18" ht="15" customHeight="1">
      <c r="A7" s="381" t="s">
        <v>42</v>
      </c>
      <c r="B7" s="451" t="s">
        <v>167</v>
      </c>
      <c r="C7" s="381" t="s">
        <v>540</v>
      </c>
      <c r="D7" s="381" t="s">
        <v>539</v>
      </c>
      <c r="E7" s="381" t="s">
        <v>246</v>
      </c>
      <c r="F7" s="381" t="s">
        <v>538</v>
      </c>
      <c r="G7" s="381" t="s">
        <v>246</v>
      </c>
      <c r="H7" s="381" t="s">
        <v>538</v>
      </c>
      <c r="I7" s="434" t="s">
        <v>246</v>
      </c>
      <c r="J7" s="487" t="s">
        <v>538</v>
      </c>
      <c r="K7" s="381" t="s">
        <v>246</v>
      </c>
      <c r="L7" s="434" t="s">
        <v>538</v>
      </c>
      <c r="N7" s="434" t="s">
        <v>537</v>
      </c>
    </row>
    <row r="8" spans="1:18" ht="15" customHeight="1">
      <c r="A8" s="381"/>
      <c r="B8" s="451"/>
      <c r="C8" s="381"/>
      <c r="D8" s="381"/>
      <c r="E8" s="590"/>
      <c r="F8" s="381"/>
      <c r="G8" s="381"/>
      <c r="H8" s="381"/>
      <c r="I8" s="433"/>
      <c r="J8" s="486"/>
      <c r="K8" s="385"/>
    </row>
    <row r="9" spans="1:18" ht="15" customHeight="1">
      <c r="A9" s="381" t="s">
        <v>333</v>
      </c>
      <c r="B9" s="485">
        <f>CF_Month_1</f>
        <v>42125</v>
      </c>
      <c r="C9" s="385" t="s">
        <v>536</v>
      </c>
      <c r="D9" s="968">
        <v>596059.10499999998</v>
      </c>
      <c r="E9" s="827">
        <v>0.21110000000000001</v>
      </c>
      <c r="F9" s="493">
        <f>ROUND($D9*E9,2)</f>
        <v>125828.08</v>
      </c>
      <c r="G9" s="827">
        <v>0</v>
      </c>
      <c r="H9" s="493">
        <f>ROUND($D9*G9,2)</f>
        <v>0</v>
      </c>
      <c r="I9" s="832">
        <v>0.1527</v>
      </c>
      <c r="J9" s="493">
        <f>ROUND($D9*I9,2)</f>
        <v>91018.23</v>
      </c>
      <c r="K9" s="832">
        <v>4.7813999999999997</v>
      </c>
      <c r="L9" s="493">
        <f>ROUND($D9*K9,2)</f>
        <v>2849997</v>
      </c>
      <c r="M9" s="602"/>
      <c r="N9" s="647">
        <f>F9+H9+J9+L9</f>
        <v>3066843.31</v>
      </c>
      <c r="O9" s="484"/>
    </row>
    <row r="10" spans="1:18" ht="15" customHeight="1">
      <c r="A10" s="381" t="s">
        <v>56</v>
      </c>
      <c r="B10" s="385"/>
      <c r="C10" s="385" t="s">
        <v>535</v>
      </c>
      <c r="D10" s="972">
        <v>22348.749</v>
      </c>
      <c r="E10" s="827">
        <f>E9</f>
        <v>0.21110000000000001</v>
      </c>
      <c r="F10" s="399">
        <f>ROUND($D10*E10,2)</f>
        <v>4717.82</v>
      </c>
      <c r="G10" s="827">
        <f>G9</f>
        <v>0</v>
      </c>
      <c r="H10" s="399">
        <f>ROUND($D10*G10,2)</f>
        <v>0</v>
      </c>
      <c r="I10" s="832">
        <f>I9</f>
        <v>0.1527</v>
      </c>
      <c r="J10" s="399">
        <f>ROUND($D10*I10,2)</f>
        <v>3412.65</v>
      </c>
      <c r="K10" s="832">
        <v>3.4527000000000001</v>
      </c>
      <c r="L10" s="399">
        <f>ROUND($D10*K10,2)</f>
        <v>77163.53</v>
      </c>
      <c r="M10" s="602"/>
      <c r="N10" s="707">
        <f>F10+H10+J10+L10</f>
        <v>85294</v>
      </c>
      <c r="O10" s="484"/>
    </row>
    <row r="11" spans="1:18" ht="15" customHeight="1">
      <c r="A11" s="381" t="s">
        <v>328</v>
      </c>
      <c r="B11" s="385"/>
      <c r="C11" s="385" t="s">
        <v>534</v>
      </c>
      <c r="D11" s="967">
        <f>SUM(D9:D10)</f>
        <v>618407.85399999993</v>
      </c>
      <c r="E11" s="827"/>
      <c r="F11" s="493">
        <f>SUM(F9:F10)</f>
        <v>130545.9</v>
      </c>
      <c r="G11" s="828"/>
      <c r="H11" s="493">
        <f>H9+H10</f>
        <v>0</v>
      </c>
      <c r="I11" s="832"/>
      <c r="J11" s="493">
        <f>SUM(J9:J10)</f>
        <v>94430.87999999999</v>
      </c>
      <c r="K11" s="833"/>
      <c r="L11" s="493">
        <f>SUM(L9:L10)</f>
        <v>2927160.53</v>
      </c>
      <c r="M11" s="493"/>
      <c r="N11" s="493">
        <f>SUM(N9:N10)</f>
        <v>3152137.31</v>
      </c>
      <c r="O11" s="398"/>
      <c r="P11" s="483"/>
      <c r="Q11" s="394"/>
      <c r="R11" s="394"/>
    </row>
    <row r="12" spans="1:18" ht="15" customHeight="1">
      <c r="A12" s="381" t="s">
        <v>327</v>
      </c>
      <c r="B12" s="385"/>
      <c r="C12" s="385" t="s">
        <v>533</v>
      </c>
      <c r="D12" s="973">
        <v>0</v>
      </c>
      <c r="E12" s="827"/>
      <c r="F12" s="835">
        <v>-1377.5</v>
      </c>
      <c r="G12" s="828"/>
      <c r="H12" s="835">
        <v>0</v>
      </c>
      <c r="I12" s="833"/>
      <c r="J12" s="835">
        <v>4373.1400000000003</v>
      </c>
      <c r="K12" s="833"/>
      <c r="L12" s="836">
        <v>131111.18</v>
      </c>
      <c r="M12" s="602"/>
      <c r="N12" s="707">
        <f>F12+H12+J12+L12</f>
        <v>134106.82</v>
      </c>
      <c r="O12" s="593"/>
      <c r="P12" s="596"/>
    </row>
    <row r="13" spans="1:18" ht="15" customHeight="1">
      <c r="A13" s="381" t="s">
        <v>325</v>
      </c>
      <c r="B13" s="385"/>
      <c r="C13" s="380" t="s">
        <v>245</v>
      </c>
      <c r="D13" s="969">
        <f>SUM(D11:D12)</f>
        <v>618407.85399999993</v>
      </c>
      <c r="E13" s="827"/>
      <c r="F13" s="493">
        <f>F11+F12</f>
        <v>129168.4</v>
      </c>
      <c r="G13" s="828"/>
      <c r="H13" s="493">
        <f>H11+H12</f>
        <v>0</v>
      </c>
      <c r="I13" s="832"/>
      <c r="J13" s="493">
        <f>J11+J12</f>
        <v>98804.01999999999</v>
      </c>
      <c r="K13" s="833"/>
      <c r="L13" s="493">
        <f>L11+L12</f>
        <v>3058271.71</v>
      </c>
      <c r="M13" s="493"/>
      <c r="N13" s="493">
        <f>N11+N12</f>
        <v>3286244.13</v>
      </c>
      <c r="O13" s="394">
        <f>F13+L13</f>
        <v>3187440.11</v>
      </c>
      <c r="P13" s="1067">
        <v>19624730.34</v>
      </c>
      <c r="Q13" s="591"/>
      <c r="R13" s="1066">
        <v>19111111.18</v>
      </c>
    </row>
    <row r="14" spans="1:18" ht="15" customHeight="1">
      <c r="A14" s="381" t="s">
        <v>323</v>
      </c>
      <c r="B14" s="385"/>
      <c r="D14" s="970"/>
      <c r="E14" s="827"/>
      <c r="F14" s="603"/>
      <c r="G14" s="829"/>
      <c r="H14" s="603"/>
      <c r="I14" s="833"/>
      <c r="J14" s="603"/>
      <c r="K14" s="833"/>
      <c r="L14" s="603"/>
      <c r="M14" s="602"/>
      <c r="N14" s="647"/>
      <c r="O14" s="647"/>
      <c r="P14" s="1068"/>
    </row>
    <row r="15" spans="1:18" ht="15" customHeight="1">
      <c r="A15" s="381" t="s">
        <v>321</v>
      </c>
      <c r="D15" s="971"/>
      <c r="E15" s="827"/>
      <c r="F15" s="481"/>
      <c r="G15" s="830"/>
      <c r="H15" s="481"/>
      <c r="I15" s="832"/>
      <c r="J15" s="708"/>
      <c r="K15" s="833"/>
      <c r="L15" s="481"/>
      <c r="M15" s="602"/>
      <c r="N15" s="647"/>
      <c r="O15" s="394"/>
      <c r="P15" s="1067"/>
    </row>
    <row r="16" spans="1:18" ht="15" customHeight="1">
      <c r="A16" s="381" t="s">
        <v>319</v>
      </c>
      <c r="B16" s="480">
        <f>CF_Month_2</f>
        <v>42156</v>
      </c>
      <c r="C16" s="385" t="s">
        <v>536</v>
      </c>
      <c r="D16" s="968">
        <v>392480.21</v>
      </c>
      <c r="E16" s="827">
        <f>E9</f>
        <v>0.21110000000000001</v>
      </c>
      <c r="F16" s="493">
        <f>ROUND($D16*E16,2)</f>
        <v>82852.570000000007</v>
      </c>
      <c r="G16" s="827">
        <f>G9</f>
        <v>0</v>
      </c>
      <c r="H16" s="493">
        <f>ROUND($D16*G16,2)</f>
        <v>0</v>
      </c>
      <c r="I16" s="832">
        <f>+I9</f>
        <v>0.1527</v>
      </c>
      <c r="J16" s="493">
        <f>ROUND($D16*I16,2)</f>
        <v>59931.73</v>
      </c>
      <c r="K16" s="832">
        <f>K9</f>
        <v>4.7813999999999997</v>
      </c>
      <c r="L16" s="493">
        <f>ROUND($D16*K16,2)</f>
        <v>1876604.88</v>
      </c>
      <c r="M16" s="602"/>
      <c r="N16" s="647">
        <f>F16+H16+J16+L16</f>
        <v>2019389.18</v>
      </c>
      <c r="O16" s="394"/>
      <c r="P16" s="1067"/>
    </row>
    <row r="17" spans="1:18" ht="15" customHeight="1">
      <c r="A17" s="381" t="s">
        <v>318</v>
      </c>
      <c r="B17" s="385"/>
      <c r="C17" s="385" t="s">
        <v>535</v>
      </c>
      <c r="D17" s="972">
        <v>20004.198</v>
      </c>
      <c r="E17" s="827">
        <f>E10</f>
        <v>0.21110000000000001</v>
      </c>
      <c r="F17" s="399">
        <f>ROUND($D17*E17,2)</f>
        <v>4222.8900000000003</v>
      </c>
      <c r="G17" s="827">
        <f>G10</f>
        <v>0</v>
      </c>
      <c r="H17" s="399">
        <f>ROUND($D17*G17,2)</f>
        <v>0</v>
      </c>
      <c r="I17" s="832">
        <f>I10</f>
        <v>0.1527</v>
      </c>
      <c r="J17" s="399">
        <f>ROUND($D17*I17,2)</f>
        <v>3054.64</v>
      </c>
      <c r="K17" s="832">
        <f>K10</f>
        <v>3.4527000000000001</v>
      </c>
      <c r="L17" s="399">
        <f>ROUND($D17*K17,2)</f>
        <v>69068.490000000005</v>
      </c>
      <c r="M17" s="602"/>
      <c r="N17" s="707">
        <f>F17+H17+J17+L17</f>
        <v>76346.02</v>
      </c>
      <c r="O17" s="394"/>
      <c r="P17" s="1067"/>
    </row>
    <row r="18" spans="1:18" ht="15" customHeight="1">
      <c r="A18" s="381" t="s">
        <v>311</v>
      </c>
      <c r="B18" s="385"/>
      <c r="C18" s="385" t="s">
        <v>534</v>
      </c>
      <c r="D18" s="967">
        <f>SUM(D16:D17)</f>
        <v>412484.408</v>
      </c>
      <c r="E18" s="827"/>
      <c r="F18" s="493">
        <f>SUM(F16:F17)</f>
        <v>87075.46</v>
      </c>
      <c r="G18" s="828"/>
      <c r="H18" s="493">
        <f>H16+H17</f>
        <v>0</v>
      </c>
      <c r="I18" s="832"/>
      <c r="J18" s="493">
        <f>SUM(J16:J17)</f>
        <v>62986.37</v>
      </c>
      <c r="K18" s="833"/>
      <c r="L18" s="493">
        <f>SUM(L16:L17)</f>
        <v>1945673.3699999999</v>
      </c>
      <c r="M18" s="493"/>
      <c r="N18" s="493">
        <f>SUM(N16:N17)</f>
        <v>2095735.2</v>
      </c>
      <c r="O18" s="394"/>
      <c r="P18" s="1067"/>
    </row>
    <row r="19" spans="1:18" ht="15" customHeight="1">
      <c r="A19" s="381" t="s">
        <v>309</v>
      </c>
      <c r="B19" s="385"/>
      <c r="C19" s="385" t="s">
        <v>533</v>
      </c>
      <c r="D19" s="973">
        <v>0</v>
      </c>
      <c r="E19" s="827"/>
      <c r="F19" s="835">
        <v>239.79</v>
      </c>
      <c r="G19" s="828"/>
      <c r="H19" s="835">
        <v>0</v>
      </c>
      <c r="I19" s="833"/>
      <c r="J19" s="835">
        <v>4983.05</v>
      </c>
      <c r="K19" s="833"/>
      <c r="L19" s="836">
        <v>116460.93</v>
      </c>
      <c r="M19" s="602"/>
      <c r="N19" s="707">
        <f>F19+H19+J19+L19</f>
        <v>121683.76999999999</v>
      </c>
      <c r="O19" s="394"/>
      <c r="P19" s="1069"/>
    </row>
    <row r="20" spans="1:18" ht="15" customHeight="1">
      <c r="A20" s="381" t="s">
        <v>307</v>
      </c>
      <c r="B20" s="385"/>
      <c r="C20" s="380" t="s">
        <v>245</v>
      </c>
      <c r="D20" s="966">
        <f>D18+D19</f>
        <v>412484.408</v>
      </c>
      <c r="E20" s="827"/>
      <c r="F20" s="493">
        <f>F18+F19</f>
        <v>87315.25</v>
      </c>
      <c r="G20" s="828"/>
      <c r="H20" s="493">
        <f>H18+H19</f>
        <v>0</v>
      </c>
      <c r="I20" s="832"/>
      <c r="J20" s="493">
        <f>J18+J19</f>
        <v>67969.42</v>
      </c>
      <c r="K20" s="833"/>
      <c r="L20" s="493">
        <f>L18+L19</f>
        <v>2062134.2999999998</v>
      </c>
      <c r="M20" s="493"/>
      <c r="N20" s="493">
        <f>N18+N19</f>
        <v>2217418.9699999997</v>
      </c>
      <c r="O20" s="394">
        <f>F20+L20</f>
        <v>2149449.5499999998</v>
      </c>
      <c r="P20" s="1067">
        <v>20368868.559999999</v>
      </c>
      <c r="R20" s="380">
        <v>19838610.129999999</v>
      </c>
    </row>
    <row r="21" spans="1:18" ht="15" customHeight="1">
      <c r="A21" s="381" t="s">
        <v>304</v>
      </c>
      <c r="B21" s="385"/>
      <c r="D21" s="970"/>
      <c r="E21" s="827"/>
      <c r="F21" s="603"/>
      <c r="G21" s="829"/>
      <c r="H21" s="603"/>
      <c r="I21" s="833"/>
      <c r="J21" s="603"/>
      <c r="K21" s="833"/>
      <c r="L21" s="603"/>
      <c r="M21" s="602"/>
      <c r="N21" s="647"/>
      <c r="O21" s="647"/>
      <c r="P21" s="1068"/>
    </row>
    <row r="22" spans="1:18" ht="15" customHeight="1">
      <c r="A22" s="381" t="s">
        <v>303</v>
      </c>
      <c r="D22" s="969"/>
      <c r="E22" s="827"/>
      <c r="F22" s="481"/>
      <c r="G22" s="830"/>
      <c r="H22" s="481"/>
      <c r="I22" s="832"/>
      <c r="J22" s="708"/>
      <c r="K22" s="833"/>
      <c r="L22" s="481"/>
      <c r="M22" s="602"/>
      <c r="N22" s="647"/>
      <c r="O22" s="394"/>
      <c r="P22" s="1067"/>
    </row>
    <row r="23" spans="1:18" ht="15" customHeight="1">
      <c r="A23" s="381" t="s">
        <v>302</v>
      </c>
      <c r="B23" s="480">
        <f>CF_Month_3</f>
        <v>42186</v>
      </c>
      <c r="C23" s="385" t="s">
        <v>536</v>
      </c>
      <c r="D23" s="968">
        <v>337650.87300000002</v>
      </c>
      <c r="E23" s="827">
        <f>E9</f>
        <v>0.21110000000000001</v>
      </c>
      <c r="F23" s="493">
        <f>ROUND($D23*E23,2)</f>
        <v>71278.100000000006</v>
      </c>
      <c r="G23" s="827">
        <f>G9</f>
        <v>0</v>
      </c>
      <c r="H23" s="493">
        <f>ROUND($D23*G23,2)</f>
        <v>0</v>
      </c>
      <c r="I23" s="832">
        <f>+I9</f>
        <v>0.1527</v>
      </c>
      <c r="J23" s="493">
        <f>ROUND($D23*I23,2)</f>
        <v>51559.29</v>
      </c>
      <c r="K23" s="832">
        <v>4.7813999999999997</v>
      </c>
      <c r="L23" s="493">
        <f>ROUND($D23*K23,2)</f>
        <v>1614443.88</v>
      </c>
      <c r="M23" s="602"/>
      <c r="N23" s="647">
        <f>F23+H23+J23+L23</f>
        <v>1737281.27</v>
      </c>
      <c r="O23" s="394"/>
      <c r="P23" s="1067"/>
    </row>
    <row r="24" spans="1:18" ht="15" customHeight="1">
      <c r="A24" s="381" t="s">
        <v>301</v>
      </c>
      <c r="B24" s="385"/>
      <c r="C24" s="385" t="s">
        <v>535</v>
      </c>
      <c r="D24" s="972">
        <v>2227.0720000000001</v>
      </c>
      <c r="E24" s="827">
        <f>E10</f>
        <v>0.21110000000000001</v>
      </c>
      <c r="F24" s="399">
        <f>ROUND($D24*E24,2)</f>
        <v>470.13</v>
      </c>
      <c r="G24" s="827">
        <f>G10</f>
        <v>0</v>
      </c>
      <c r="H24" s="399">
        <f>ROUND($D24*G24,2)</f>
        <v>0</v>
      </c>
      <c r="I24" s="832">
        <f>I10</f>
        <v>0.1527</v>
      </c>
      <c r="J24" s="399">
        <f>ROUND($D24*I24,2)</f>
        <v>340.07</v>
      </c>
      <c r="K24" s="832">
        <v>3.4527000000000001</v>
      </c>
      <c r="L24" s="399">
        <f>ROUND($D24*K24,2)</f>
        <v>7689.41</v>
      </c>
      <c r="M24" s="602"/>
      <c r="N24" s="707">
        <f>F24+H24+J24+L24</f>
        <v>8499.61</v>
      </c>
      <c r="O24" s="394"/>
      <c r="P24" s="1067"/>
    </row>
    <row r="25" spans="1:18" ht="15" customHeight="1">
      <c r="A25" s="381" t="s">
        <v>296</v>
      </c>
      <c r="B25" s="385"/>
      <c r="C25" s="385" t="s">
        <v>534</v>
      </c>
      <c r="D25" s="967">
        <f>SUM(D23:D24)</f>
        <v>339877.94500000001</v>
      </c>
      <c r="E25" s="804"/>
      <c r="F25" s="493">
        <f>SUM(F23:F24)</f>
        <v>71748.23000000001</v>
      </c>
      <c r="G25" s="828"/>
      <c r="H25" s="493">
        <f>H23+H24</f>
        <v>0</v>
      </c>
      <c r="I25" s="832"/>
      <c r="J25" s="493">
        <f>SUM(J23:J24)</f>
        <v>51899.360000000001</v>
      </c>
      <c r="K25" s="833"/>
      <c r="L25" s="493">
        <f>SUM(L23:L24)</f>
        <v>1622133.2899999998</v>
      </c>
      <c r="M25" s="493"/>
      <c r="N25" s="493">
        <f>SUM(N23:N24)</f>
        <v>1745780.8800000001</v>
      </c>
      <c r="O25" s="394"/>
      <c r="P25" s="1067"/>
    </row>
    <row r="26" spans="1:18" ht="15" customHeight="1">
      <c r="A26" s="381" t="s">
        <v>295</v>
      </c>
      <c r="C26" s="385" t="s">
        <v>533</v>
      </c>
      <c r="D26" s="972">
        <v>0</v>
      </c>
      <c r="E26" s="832"/>
      <c r="F26" s="835">
        <v>-389.18</v>
      </c>
      <c r="G26" s="828"/>
      <c r="H26" s="835">
        <v>0</v>
      </c>
      <c r="I26" s="833"/>
      <c r="J26" s="835">
        <v>4050.86</v>
      </c>
      <c r="K26" s="833"/>
      <c r="L26" s="836">
        <v>96515.25</v>
      </c>
      <c r="M26" s="602"/>
      <c r="N26" s="707">
        <f>F26+H26+J26+L26</f>
        <v>100176.93</v>
      </c>
      <c r="O26" s="394"/>
      <c r="P26" s="1067"/>
    </row>
    <row r="27" spans="1:18" ht="15" customHeight="1">
      <c r="A27" s="381" t="s">
        <v>293</v>
      </c>
      <c r="B27" s="429"/>
      <c r="C27" s="380" t="s">
        <v>245</v>
      </c>
      <c r="D27" s="966">
        <f>D25+D26</f>
        <v>339877.94500000001</v>
      </c>
      <c r="E27" s="804"/>
      <c r="F27" s="493">
        <f>F25+F26</f>
        <v>71359.050000000017</v>
      </c>
      <c r="G27" s="828"/>
      <c r="H27" s="493">
        <f>H25+H26</f>
        <v>0</v>
      </c>
      <c r="I27" s="433"/>
      <c r="J27" s="493">
        <f>J25+J26</f>
        <v>55950.22</v>
      </c>
      <c r="K27" s="830"/>
      <c r="L27" s="493">
        <f>L25+L26</f>
        <v>1718648.5399999998</v>
      </c>
      <c r="M27" s="493"/>
      <c r="N27" s="493">
        <f>N25+N26</f>
        <v>1845957.81</v>
      </c>
      <c r="O27" s="394">
        <f>F27+L27</f>
        <v>1790007.5899999999</v>
      </c>
      <c r="P27" s="1067">
        <v>7998966.4500000002</v>
      </c>
      <c r="R27" s="380">
        <v>7783235.5300000003</v>
      </c>
    </row>
    <row r="28" spans="1:18" ht="15" customHeight="1">
      <c r="A28" s="381" t="s">
        <v>289</v>
      </c>
      <c r="B28" s="429"/>
      <c r="C28" s="429"/>
      <c r="D28" s="429"/>
      <c r="E28" s="805"/>
      <c r="F28" s="594"/>
      <c r="G28" s="831"/>
      <c r="H28" s="594"/>
      <c r="J28" s="594"/>
      <c r="K28" s="834"/>
      <c r="L28" s="594"/>
      <c r="N28" s="394"/>
      <c r="O28" s="394"/>
    </row>
    <row r="29" spans="1:18" ht="15" customHeight="1">
      <c r="A29" s="381" t="s">
        <v>284</v>
      </c>
      <c r="B29" s="429"/>
      <c r="C29" s="429"/>
      <c r="D29" s="478"/>
      <c r="E29" s="805"/>
      <c r="F29" s="429"/>
      <c r="G29" s="831"/>
      <c r="H29" s="429"/>
      <c r="K29" s="834"/>
      <c r="L29" s="398"/>
      <c r="O29" s="394"/>
    </row>
    <row r="30" spans="1:18" ht="15" customHeight="1" thickBot="1">
      <c r="A30" s="381" t="s">
        <v>283</v>
      </c>
      <c r="B30" s="385" t="s">
        <v>532</v>
      </c>
      <c r="C30" s="385"/>
      <c r="D30" s="385"/>
      <c r="E30" s="806"/>
      <c r="F30" s="476">
        <f>F13+F20+F27</f>
        <v>287842.7</v>
      </c>
      <c r="G30" s="477"/>
      <c r="H30" s="477"/>
      <c r="K30" s="834"/>
      <c r="L30" s="398"/>
      <c r="N30" s="394"/>
      <c r="O30" s="394"/>
    </row>
    <row r="31" spans="1:18" ht="15" customHeight="1" thickTop="1" thickBot="1">
      <c r="A31" s="381" t="s">
        <v>282</v>
      </c>
      <c r="B31" s="385" t="s">
        <v>531</v>
      </c>
      <c r="C31" s="385"/>
      <c r="D31" s="385"/>
      <c r="E31" s="385"/>
      <c r="F31" s="477"/>
      <c r="G31" s="477"/>
      <c r="H31" s="476">
        <f>H13+H20+H27</f>
        <v>0</v>
      </c>
      <c r="L31" s="398"/>
      <c r="N31" s="394"/>
      <c r="O31" s="394"/>
      <c r="P31" s="628"/>
    </row>
    <row r="32" spans="1:18" ht="15" customHeight="1" thickTop="1" thickBot="1">
      <c r="A32" s="381" t="s">
        <v>280</v>
      </c>
      <c r="B32" s="385" t="s">
        <v>530</v>
      </c>
      <c r="C32" s="385"/>
      <c r="D32" s="385"/>
      <c r="E32" s="385"/>
      <c r="F32" s="385"/>
      <c r="G32" s="385"/>
      <c r="H32" s="385"/>
      <c r="J32" s="475">
        <f>J13+J20+J27</f>
        <v>222723.66</v>
      </c>
      <c r="O32" s="394"/>
      <c r="P32" s="628"/>
    </row>
    <row r="33" spans="1:18" ht="15" customHeight="1" thickTop="1" thickBot="1">
      <c r="A33" s="381" t="s">
        <v>279</v>
      </c>
      <c r="B33" s="433" t="s">
        <v>529</v>
      </c>
      <c r="C33" s="433"/>
      <c r="D33" s="433"/>
      <c r="E33" s="385"/>
      <c r="F33" s="385"/>
      <c r="G33" s="385"/>
      <c r="H33" s="385"/>
      <c r="L33" s="475">
        <f>L13+L20+L27</f>
        <v>6839054.5499999998</v>
      </c>
      <c r="O33" s="394"/>
      <c r="P33" s="628"/>
    </row>
    <row r="34" spans="1:18" ht="15" customHeight="1" thickTop="1" thickBot="1">
      <c r="A34" s="381" t="s">
        <v>278</v>
      </c>
      <c r="B34" s="481" t="s">
        <v>528</v>
      </c>
      <c r="C34" s="481"/>
      <c r="D34" s="481"/>
      <c r="N34" s="475">
        <f>N13+N20+N27</f>
        <v>7349620.9100000001</v>
      </c>
      <c r="P34" s="1070">
        <f>+SUM(P13:P27)</f>
        <v>47992565.350000001</v>
      </c>
      <c r="Q34" s="1071"/>
      <c r="R34" s="1071"/>
    </row>
    <row r="35" spans="1:18" ht="15" customHeight="1" thickTop="1">
      <c r="A35" s="381" t="s">
        <v>277</v>
      </c>
    </row>
    <row r="36" spans="1:18" ht="15" customHeight="1" thickBot="1">
      <c r="A36" s="381" t="s">
        <v>275</v>
      </c>
      <c r="B36" s="385"/>
      <c r="C36" s="385"/>
      <c r="D36" s="385"/>
      <c r="E36" s="385"/>
      <c r="F36" s="385"/>
      <c r="G36" s="385"/>
      <c r="H36" s="385"/>
      <c r="K36" s="394"/>
      <c r="O36" s="1072">
        <f>+SUM(O13:O33)</f>
        <v>7126897.25</v>
      </c>
      <c r="P36" s="1073"/>
      <c r="Q36" s="1073"/>
      <c r="R36" s="1072">
        <f t="shared" ref="R36" si="0">+SUM(R13:R33)</f>
        <v>46732956.840000004</v>
      </c>
    </row>
    <row r="37" spans="1:18" ht="15" customHeight="1" thickTop="1">
      <c r="A37" s="381" t="s">
        <v>274</v>
      </c>
      <c r="B37" s="474" t="s">
        <v>527</v>
      </c>
      <c r="C37" s="474"/>
      <c r="D37" s="474"/>
      <c r="E37" s="474"/>
      <c r="F37" s="474"/>
      <c r="G37" s="474"/>
      <c r="H37" s="474"/>
    </row>
    <row r="38" spans="1:18" ht="15" customHeight="1">
      <c r="A38" s="381" t="s">
        <v>273</v>
      </c>
      <c r="B38" s="474" t="s">
        <v>526</v>
      </c>
      <c r="C38" s="474"/>
      <c r="D38" s="474"/>
      <c r="E38" s="474"/>
      <c r="F38" s="474"/>
      <c r="G38" s="474"/>
      <c r="H38" s="474"/>
    </row>
    <row r="39" spans="1:18" ht="15" customHeight="1">
      <c r="A39" s="381"/>
    </row>
    <row r="40" spans="1:18" ht="15" customHeight="1">
      <c r="A40" s="381"/>
      <c r="B40" s="474"/>
    </row>
    <row r="41" spans="1:18" ht="15" customHeight="1">
      <c r="A41" s="381"/>
      <c r="B41" s="385"/>
      <c r="C41" s="385"/>
      <c r="D41" s="472"/>
      <c r="E41" s="471"/>
      <c r="F41" s="403"/>
      <c r="G41" s="403"/>
      <c r="H41" s="403"/>
    </row>
    <row r="42" spans="1:18" ht="15" customHeight="1">
      <c r="A42" s="381"/>
      <c r="B42" s="385"/>
      <c r="C42" s="385"/>
      <c r="D42" s="472"/>
      <c r="E42" s="471"/>
      <c r="F42" s="403"/>
      <c r="G42" s="403"/>
      <c r="H42" s="403"/>
    </row>
    <row r="43" spans="1:18" ht="15" customHeight="1">
      <c r="A43" s="381"/>
      <c r="B43" s="385"/>
      <c r="C43" s="385"/>
      <c r="D43" s="470"/>
      <c r="E43" s="385"/>
      <c r="F43" s="403"/>
      <c r="G43" s="403"/>
      <c r="H43" s="403"/>
    </row>
    <row r="44" spans="1:18" ht="15" customHeight="1">
      <c r="A44" s="381"/>
    </row>
    <row r="45" spans="1:18" ht="15" customHeight="1">
      <c r="A45" s="381"/>
      <c r="B45" s="473"/>
      <c r="C45" s="385"/>
      <c r="D45" s="472"/>
      <c r="E45" s="407"/>
      <c r="F45" s="405"/>
      <c r="G45" s="405"/>
      <c r="H45" s="405"/>
    </row>
    <row r="46" spans="1:18" ht="15" customHeight="1">
      <c r="A46" s="381"/>
      <c r="C46" s="385"/>
      <c r="D46" s="472"/>
      <c r="E46" s="471"/>
      <c r="F46" s="403"/>
      <c r="G46" s="403"/>
      <c r="H46" s="403"/>
    </row>
    <row r="47" spans="1:18" ht="15" customHeight="1">
      <c r="A47" s="381"/>
      <c r="B47" s="385"/>
      <c r="C47" s="385"/>
      <c r="D47" s="472"/>
      <c r="E47" s="471"/>
      <c r="F47" s="403"/>
      <c r="G47" s="403"/>
      <c r="H47" s="403"/>
    </row>
    <row r="48" spans="1:18" ht="15" customHeight="1">
      <c r="A48" s="381"/>
      <c r="B48" s="385"/>
      <c r="C48" s="385"/>
      <c r="D48" s="472"/>
      <c r="E48" s="471"/>
      <c r="F48" s="403"/>
      <c r="G48" s="403"/>
      <c r="H48" s="403"/>
    </row>
    <row r="49" spans="1:8" ht="15" customHeight="1">
      <c r="A49" s="381"/>
      <c r="B49" s="385"/>
      <c r="C49" s="385"/>
      <c r="D49" s="472"/>
      <c r="E49" s="471"/>
      <c r="F49" s="403"/>
      <c r="G49" s="403"/>
      <c r="H49" s="403"/>
    </row>
    <row r="50" spans="1:8" ht="15" customHeight="1">
      <c r="A50" s="381"/>
      <c r="B50" s="385"/>
      <c r="C50" s="385"/>
      <c r="D50" s="472"/>
      <c r="E50" s="471"/>
      <c r="F50" s="403"/>
      <c r="G50" s="403"/>
      <c r="H50" s="403"/>
    </row>
    <row r="51" spans="1:8" ht="15" customHeight="1">
      <c r="A51" s="381"/>
      <c r="B51" s="385"/>
      <c r="C51" s="385"/>
      <c r="D51" s="472"/>
      <c r="E51" s="471"/>
      <c r="F51" s="403"/>
      <c r="G51" s="403"/>
      <c r="H51" s="403"/>
    </row>
    <row r="52" spans="1:8" ht="15" customHeight="1">
      <c r="A52" s="381"/>
      <c r="B52" s="385"/>
      <c r="C52" s="385"/>
      <c r="D52" s="472"/>
      <c r="E52" s="471"/>
      <c r="F52" s="403"/>
      <c r="G52" s="403"/>
      <c r="H52" s="403"/>
    </row>
    <row r="53" spans="1:8" ht="15" customHeight="1">
      <c r="A53" s="381"/>
      <c r="B53" s="385"/>
      <c r="C53" s="385"/>
      <c r="D53" s="470"/>
      <c r="E53" s="385"/>
      <c r="F53" s="403"/>
      <c r="G53" s="403"/>
      <c r="H53" s="403"/>
    </row>
    <row r="54" spans="1:8" ht="15" customHeight="1">
      <c r="A54" s="381"/>
    </row>
    <row r="55" spans="1:8" ht="15" customHeight="1">
      <c r="A55" s="381"/>
    </row>
    <row r="56" spans="1:8" ht="15" customHeight="1">
      <c r="A56" s="381"/>
    </row>
    <row r="57" spans="1:8" ht="15" customHeight="1">
      <c r="A57" s="381"/>
    </row>
    <row r="58" spans="1:8" ht="15" customHeight="1">
      <c r="A58" s="381"/>
    </row>
    <row r="59" spans="1:8" ht="15" customHeight="1">
      <c r="A59" s="381"/>
    </row>
    <row r="60" spans="1:8" ht="15" customHeight="1">
      <c r="A60" s="381"/>
    </row>
    <row r="61" spans="1:8" ht="15" customHeight="1">
      <c r="A61" s="381"/>
      <c r="B61" s="385"/>
      <c r="C61" s="385"/>
      <c r="D61" s="472"/>
      <c r="E61" s="471"/>
      <c r="F61" s="403"/>
      <c r="G61" s="403"/>
      <c r="H61" s="403"/>
    </row>
    <row r="62" spans="1:8" ht="15" customHeight="1">
      <c r="A62" s="381"/>
      <c r="B62" s="385"/>
      <c r="C62" s="385"/>
      <c r="D62" s="472"/>
      <c r="E62" s="471"/>
      <c r="F62" s="403"/>
      <c r="G62" s="403"/>
      <c r="H62" s="403"/>
    </row>
    <row r="63" spans="1:8" ht="15" customHeight="1">
      <c r="A63" s="381"/>
      <c r="B63" s="385"/>
      <c r="C63" s="385"/>
      <c r="D63" s="470"/>
      <c r="E63" s="385"/>
      <c r="F63" s="403"/>
      <c r="G63" s="403"/>
      <c r="H63" s="403"/>
    </row>
    <row r="64" spans="1:8" ht="15" customHeight="1">
      <c r="A64" s="381"/>
    </row>
    <row r="65" spans="1:8" ht="15" customHeight="1">
      <c r="A65" s="381"/>
    </row>
    <row r="66" spans="1:8" ht="15" customHeight="1">
      <c r="A66" s="381"/>
    </row>
    <row r="67" spans="1:8" ht="15" customHeight="1">
      <c r="A67" s="381"/>
    </row>
    <row r="68" spans="1:8" ht="15" customHeight="1">
      <c r="A68" s="381"/>
    </row>
    <row r="69" spans="1:8" ht="15" customHeight="1">
      <c r="A69" s="381"/>
    </row>
    <row r="70" spans="1:8" ht="15" customHeight="1">
      <c r="A70" s="381"/>
    </row>
    <row r="71" spans="1:8" ht="15" customHeight="1">
      <c r="A71" s="381"/>
    </row>
    <row r="72" spans="1:8" ht="15" customHeight="1">
      <c r="A72" s="381"/>
      <c r="B72" s="385"/>
      <c r="C72" s="385"/>
      <c r="D72" s="385"/>
      <c r="E72" s="385"/>
      <c r="F72" s="385"/>
      <c r="G72" s="385"/>
      <c r="H72" s="385"/>
    </row>
    <row r="73" spans="1:8">
      <c r="A73" s="381"/>
      <c r="B73" s="385"/>
      <c r="C73" s="385"/>
      <c r="D73" s="385"/>
      <c r="E73" s="385"/>
      <c r="F73" s="385"/>
      <c r="G73" s="385"/>
      <c r="H73" s="385"/>
    </row>
    <row r="74" spans="1:8">
      <c r="A74" s="381"/>
      <c r="B74" s="385"/>
      <c r="C74" s="385"/>
      <c r="D74" s="385"/>
      <c r="E74" s="385"/>
      <c r="F74" s="385"/>
      <c r="G74" s="385"/>
      <c r="H74" s="385"/>
    </row>
    <row r="75" spans="1:8">
      <c r="A75" s="381"/>
    </row>
    <row r="76" spans="1:8">
      <c r="A76" s="381"/>
    </row>
    <row r="77" spans="1:8">
      <c r="A77" s="381"/>
    </row>
    <row r="78" spans="1:8">
      <c r="A78" s="381"/>
    </row>
    <row r="79" spans="1:8">
      <c r="A79" s="381"/>
    </row>
    <row r="80" spans="1:8">
      <c r="A80" s="381"/>
    </row>
    <row r="81" spans="1:1">
      <c r="A81" s="381"/>
    </row>
    <row r="82" spans="1:1">
      <c r="A82" s="381"/>
    </row>
    <row r="83" spans="1:1">
      <c r="A83" s="381"/>
    </row>
    <row r="84" spans="1:1">
      <c r="A84" s="381"/>
    </row>
    <row r="85" spans="1:1">
      <c r="A85" s="381"/>
    </row>
    <row r="86" spans="1:1">
      <c r="A86" s="381"/>
    </row>
    <row r="87" spans="1:1">
      <c r="A87" s="381"/>
    </row>
    <row r="88" spans="1:1">
      <c r="A88" s="381"/>
    </row>
    <row r="89" spans="1:1">
      <c r="A89" s="381"/>
    </row>
    <row r="90" spans="1:1">
      <c r="A90" s="381"/>
    </row>
    <row r="91" spans="1:1">
      <c r="A91" s="381"/>
    </row>
    <row r="92" spans="1:1">
      <c r="A92" s="381"/>
    </row>
    <row r="93" spans="1:1">
      <c r="A93" s="381"/>
    </row>
    <row r="94" spans="1:1">
      <c r="A94" s="381"/>
    </row>
    <row r="95" spans="1:1">
      <c r="A95" s="381"/>
    </row>
    <row r="96" spans="1:1">
      <c r="A96" s="381"/>
    </row>
    <row r="97" spans="1:1">
      <c r="A97" s="381"/>
    </row>
    <row r="98" spans="1:1">
      <c r="A98" s="381"/>
    </row>
    <row r="99" spans="1:1">
      <c r="A99" s="381"/>
    </row>
    <row r="100" spans="1:1">
      <c r="A100" s="381"/>
    </row>
    <row r="101" spans="1:1">
      <c r="A101" s="381"/>
    </row>
    <row r="102" spans="1:1">
      <c r="A102" s="381"/>
    </row>
    <row r="103" spans="1:1">
      <c r="A103" s="381"/>
    </row>
    <row r="104" spans="1:1">
      <c r="A104" s="381"/>
    </row>
    <row r="105" spans="1:1">
      <c r="A105" s="381"/>
    </row>
    <row r="106" spans="1:1">
      <c r="A106" s="381"/>
    </row>
    <row r="107" spans="1:1">
      <c r="A107" s="381"/>
    </row>
    <row r="108" spans="1:1">
      <c r="A108" s="381"/>
    </row>
  </sheetData>
  <mergeCells count="1">
    <mergeCell ref="A3:D3"/>
  </mergeCells>
  <printOptions horizontalCentered="1"/>
  <pageMargins left="0" right="0" top="0.75" bottom="0.25" header="0.5" footer="0.5"/>
  <pageSetup scale="56" orientation="landscape" r:id="rId1"/>
  <headerFooter alignWithMargins="0"/>
  <customProperties>
    <customPr name="_pios_id" r:id="rId2"/>
  </customProperties>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5">
    <pageSetUpPr fitToPage="1"/>
  </sheetPr>
  <dimension ref="A1:T188"/>
  <sheetViews>
    <sheetView showGridLines="0" zoomScale="80" zoomScaleNormal="80" workbookViewId="0">
      <pane ySplit="7" topLeftCell="A128" activePane="bottomLeft" state="frozen"/>
      <selection activeCell="E33" sqref="E33"/>
      <selection pane="bottomLeft" activeCell="E33" sqref="E33"/>
    </sheetView>
  </sheetViews>
  <sheetFormatPr defaultColWidth="12.5703125" defaultRowHeight="14.25"/>
  <cols>
    <col min="1" max="1" width="4.85546875" style="434" customWidth="1"/>
    <col min="2" max="2" width="2.28515625" style="380" customWidth="1"/>
    <col min="3" max="3" width="30.5703125" style="380" customWidth="1"/>
    <col min="4" max="4" width="17" style="380" customWidth="1"/>
    <col min="5" max="5" width="2.28515625" style="380" customWidth="1"/>
    <col min="6" max="6" width="17.42578125" style="380" customWidth="1"/>
    <col min="7" max="7" width="2.28515625" style="380" customWidth="1"/>
    <col min="8" max="8" width="12.42578125" style="380" bestFit="1" customWidth="1"/>
    <col min="9" max="9" width="2.28515625" style="380" customWidth="1"/>
    <col min="10" max="10" width="18.140625" style="380" customWidth="1"/>
    <col min="11" max="11" width="2.28515625" style="380" customWidth="1"/>
    <col min="12" max="12" width="12.42578125" style="380" customWidth="1"/>
    <col min="13" max="13" width="2.28515625" style="380" customWidth="1"/>
    <col min="14" max="14" width="21.28515625" style="380" customWidth="1"/>
    <col min="15" max="15" width="2.28515625" style="380" customWidth="1"/>
    <col min="16" max="16" width="14.28515625" style="380" bestFit="1" customWidth="1"/>
    <col min="17" max="17" width="2.28515625" style="380" customWidth="1"/>
    <col min="18" max="18" width="16.28515625" style="380" bestFit="1" customWidth="1"/>
    <col min="19" max="19" width="13.5703125" style="380" bestFit="1" customWidth="1"/>
    <col min="20" max="16384" width="12.5703125" style="380"/>
  </cols>
  <sheetData>
    <row r="1" spans="1:20" ht="15">
      <c r="A1" s="423" t="s">
        <v>51</v>
      </c>
      <c r="C1" s="423"/>
      <c r="D1" s="385"/>
      <c r="E1" s="385"/>
      <c r="F1" s="385"/>
      <c r="G1" s="385"/>
      <c r="H1" s="492"/>
      <c r="I1" s="492"/>
      <c r="J1" s="385"/>
      <c r="K1" s="385"/>
      <c r="L1" s="492"/>
      <c r="M1" s="492"/>
      <c r="N1" s="385" t="s">
        <v>485</v>
      </c>
      <c r="O1" s="385"/>
      <c r="P1" s="492"/>
      <c r="Q1" s="492"/>
      <c r="S1" s="385"/>
      <c r="T1" s="385"/>
    </row>
    <row r="2" spans="1:20">
      <c r="A2" s="420" t="s">
        <v>564</v>
      </c>
      <c r="C2" s="420"/>
      <c r="D2" s="385"/>
      <c r="E2" s="385"/>
      <c r="F2" s="385"/>
      <c r="G2" s="385"/>
      <c r="H2" s="492"/>
      <c r="I2" s="385"/>
      <c r="J2" s="385"/>
      <c r="K2" s="385"/>
      <c r="L2" s="492"/>
      <c r="M2" s="492"/>
      <c r="N2" s="385" t="s">
        <v>563</v>
      </c>
      <c r="O2" s="385"/>
      <c r="P2" s="492"/>
      <c r="Q2" s="492"/>
      <c r="S2" s="385"/>
      <c r="T2" s="385"/>
    </row>
    <row r="3" spans="1:20">
      <c r="A3" s="420" t="s">
        <v>562</v>
      </c>
      <c r="C3" s="420"/>
      <c r="D3" s="385"/>
      <c r="E3" s="385"/>
      <c r="F3" s="385"/>
      <c r="G3" s="385"/>
      <c r="H3" s="385"/>
      <c r="I3" s="385"/>
      <c r="J3" s="385"/>
      <c r="K3" s="385"/>
      <c r="L3" s="492"/>
      <c r="M3" s="492"/>
      <c r="N3" s="385"/>
      <c r="O3" s="385"/>
      <c r="P3" s="492"/>
      <c r="Q3" s="492"/>
      <c r="S3" s="385"/>
      <c r="T3" s="385"/>
    </row>
    <row r="4" spans="1:20">
      <c r="A4" s="420"/>
      <c r="C4" s="420"/>
      <c r="D4" s="406" t="s">
        <v>46</v>
      </c>
      <c r="F4" s="381" t="s">
        <v>45</v>
      </c>
      <c r="G4" s="392"/>
      <c r="H4" s="406" t="s">
        <v>44</v>
      </c>
      <c r="J4" s="381" t="s">
        <v>252</v>
      </c>
      <c r="L4" s="406" t="s">
        <v>251</v>
      </c>
      <c r="N4" s="381" t="s">
        <v>335</v>
      </c>
      <c r="O4" s="381"/>
      <c r="P4" s="492"/>
      <c r="Q4" s="492"/>
      <c r="S4" s="385"/>
      <c r="T4" s="385"/>
    </row>
    <row r="5" spans="1:20" ht="15">
      <c r="B5" s="385"/>
      <c r="C5" s="406" t="s">
        <v>511</v>
      </c>
      <c r="D5" s="502">
        <f>Month1</f>
        <v>42156</v>
      </c>
      <c r="E5" s="449"/>
      <c r="F5" s="449"/>
      <c r="G5" s="501"/>
      <c r="H5" s="502">
        <f>Month2</f>
        <v>42186</v>
      </c>
      <c r="I5" s="449"/>
      <c r="J5" s="449"/>
      <c r="K5" s="501"/>
      <c r="L5" s="502">
        <f>Month3</f>
        <v>42217</v>
      </c>
      <c r="M5" s="449"/>
      <c r="N5" s="449"/>
      <c r="O5" s="385"/>
      <c r="P5" s="429"/>
      <c r="Q5" s="429"/>
      <c r="R5" s="429"/>
      <c r="S5" s="385"/>
      <c r="T5" s="385"/>
    </row>
    <row r="6" spans="1:20" ht="15">
      <c r="B6" s="385"/>
      <c r="C6" s="385"/>
      <c r="D6" s="502">
        <f>CF_Month_1</f>
        <v>42125</v>
      </c>
      <c r="E6" s="449"/>
      <c r="F6" s="449"/>
      <c r="G6" s="501"/>
      <c r="H6" s="502">
        <f>CF_Month_2</f>
        <v>42156</v>
      </c>
      <c r="I6" s="449"/>
      <c r="J6" s="449"/>
      <c r="K6" s="501"/>
      <c r="L6" s="502">
        <f>CF_Month_3</f>
        <v>42186</v>
      </c>
      <c r="M6" s="449"/>
      <c r="N6" s="449"/>
      <c r="O6" s="501"/>
      <c r="P6" s="429"/>
      <c r="Q6" s="429"/>
      <c r="R6" s="429"/>
      <c r="S6" s="385"/>
      <c r="T6" s="385"/>
    </row>
    <row r="7" spans="1:20" ht="15">
      <c r="B7" s="420" t="s">
        <v>41</v>
      </c>
      <c r="C7" s="381"/>
      <c r="D7" s="381" t="s">
        <v>416</v>
      </c>
      <c r="E7" s="381"/>
      <c r="F7" s="381" t="s">
        <v>451</v>
      </c>
      <c r="G7" s="381"/>
      <c r="H7" s="381" t="s">
        <v>416</v>
      </c>
      <c r="I7" s="381"/>
      <c r="J7" s="381" t="s">
        <v>451</v>
      </c>
      <c r="K7" s="381"/>
      <c r="L7" s="381" t="s">
        <v>416</v>
      </c>
      <c r="M7" s="381"/>
      <c r="N7" s="381" t="s">
        <v>451</v>
      </c>
      <c r="O7" s="381"/>
      <c r="P7" s="429"/>
      <c r="Q7" s="429"/>
      <c r="R7" s="429"/>
      <c r="S7" s="385"/>
      <c r="T7" s="385"/>
    </row>
    <row r="8" spans="1:20" ht="15">
      <c r="B8" s="381"/>
      <c r="C8" s="381"/>
      <c r="D8" s="381"/>
      <c r="E8" s="381"/>
      <c r="F8" s="381"/>
      <c r="G8" s="381"/>
      <c r="H8" s="381"/>
      <c r="I8" s="381"/>
      <c r="J8" s="381"/>
      <c r="K8" s="381"/>
      <c r="L8" s="381"/>
      <c r="M8" s="381"/>
      <c r="N8" s="381"/>
      <c r="O8" s="381"/>
      <c r="P8" s="429"/>
      <c r="Q8" s="429"/>
      <c r="R8" s="429"/>
      <c r="S8" s="385"/>
      <c r="T8" s="385"/>
    </row>
    <row r="9" spans="1:20" ht="15.75">
      <c r="A9" s="434">
        <v>1</v>
      </c>
      <c r="B9" s="383" t="s">
        <v>561</v>
      </c>
      <c r="C9" s="385"/>
      <c r="D9" s="385"/>
      <c r="E9" s="385"/>
      <c r="F9" s="385"/>
      <c r="G9" s="385"/>
      <c r="H9" s="385"/>
      <c r="I9" s="385"/>
      <c r="J9" s="385"/>
      <c r="K9" s="385"/>
      <c r="L9" s="385"/>
      <c r="M9" s="385"/>
      <c r="N9" s="385"/>
      <c r="O9" s="385"/>
      <c r="P9" s="429"/>
      <c r="Q9" s="429"/>
      <c r="R9" s="429"/>
      <c r="S9" s="385"/>
      <c r="T9" s="385"/>
    </row>
    <row r="10" spans="1:20" ht="15">
      <c r="A10" s="434">
        <v>2</v>
      </c>
      <c r="C10" s="385" t="s">
        <v>555</v>
      </c>
      <c r="D10" s="404"/>
      <c r="E10" s="496"/>
      <c r="F10" s="495"/>
      <c r="G10" s="495"/>
      <c r="H10" s="404"/>
      <c r="I10" s="496"/>
      <c r="J10" s="495"/>
      <c r="K10" s="495"/>
      <c r="L10" s="404"/>
      <c r="M10" s="496"/>
      <c r="N10" s="495"/>
      <c r="O10" s="403"/>
      <c r="P10" s="429"/>
      <c r="Q10" s="429"/>
      <c r="R10" s="429"/>
      <c r="S10" s="385"/>
      <c r="T10" s="385"/>
    </row>
    <row r="11" spans="1:20" ht="15">
      <c r="A11" s="434">
        <v>3</v>
      </c>
      <c r="C11" s="385" t="s">
        <v>574</v>
      </c>
      <c r="D11" s="404"/>
      <c r="E11" s="496"/>
      <c r="F11" s="495"/>
      <c r="G11" s="495"/>
      <c r="H11" s="404"/>
      <c r="I11" s="496"/>
      <c r="J11" s="495"/>
      <c r="K11" s="495"/>
      <c r="L11" s="404"/>
      <c r="M11" s="496"/>
      <c r="N11" s="495"/>
      <c r="O11" s="403"/>
      <c r="P11" s="429"/>
      <c r="Q11" s="429"/>
      <c r="R11" s="429"/>
      <c r="S11" s="385"/>
      <c r="T11" s="385"/>
    </row>
    <row r="12" spans="1:20" ht="15">
      <c r="A12" s="434">
        <v>4</v>
      </c>
      <c r="C12" s="385" t="s">
        <v>573</v>
      </c>
      <c r="D12" s="404"/>
      <c r="E12" s="496"/>
      <c r="F12" s="495"/>
      <c r="G12" s="495"/>
      <c r="H12" s="404"/>
      <c r="I12" s="496"/>
      <c r="J12" s="495"/>
      <c r="K12" s="495"/>
      <c r="L12" s="404"/>
      <c r="M12" s="496"/>
      <c r="N12" s="495"/>
      <c r="O12" s="403"/>
      <c r="P12" s="429"/>
      <c r="Q12" s="429"/>
      <c r="R12" s="429"/>
      <c r="S12" s="385"/>
      <c r="T12" s="385"/>
    </row>
    <row r="13" spans="1:20" ht="15">
      <c r="A13" s="434">
        <v>5</v>
      </c>
      <c r="C13" s="385" t="s">
        <v>568</v>
      </c>
      <c r="D13" s="404"/>
      <c r="E13" s="496"/>
      <c r="F13" s="495"/>
      <c r="G13" s="495"/>
      <c r="H13" s="404"/>
      <c r="I13" s="496"/>
      <c r="J13" s="495"/>
      <c r="K13" s="495"/>
      <c r="L13" s="404"/>
      <c r="M13" s="496"/>
      <c r="N13" s="495"/>
      <c r="O13" s="403"/>
      <c r="P13" s="429"/>
      <c r="Q13" s="429"/>
      <c r="R13" s="429"/>
      <c r="S13" s="385"/>
      <c r="T13" s="385"/>
    </row>
    <row r="14" spans="1:20" ht="15">
      <c r="A14" s="434">
        <v>6</v>
      </c>
      <c r="C14" s="385" t="s">
        <v>572</v>
      </c>
      <c r="D14" s="404"/>
      <c r="E14" s="496"/>
      <c r="F14" s="495"/>
      <c r="G14" s="495"/>
      <c r="H14" s="404"/>
      <c r="I14" s="496"/>
      <c r="J14" s="495"/>
      <c r="K14" s="495"/>
      <c r="L14" s="404"/>
      <c r="M14" s="496"/>
      <c r="N14" s="495"/>
      <c r="O14" s="403"/>
      <c r="P14" s="429"/>
      <c r="Q14" s="429"/>
      <c r="R14" s="429"/>
      <c r="S14" s="385"/>
      <c r="T14" s="385"/>
    </row>
    <row r="15" spans="1:20" ht="15">
      <c r="A15" s="434">
        <v>7</v>
      </c>
      <c r="C15" s="385" t="s">
        <v>571</v>
      </c>
      <c r="D15" s="404"/>
      <c r="E15" s="496"/>
      <c r="F15" s="495"/>
      <c r="G15" s="495"/>
      <c r="H15" s="404"/>
      <c r="I15" s="496"/>
      <c r="J15" s="495"/>
      <c r="K15" s="495"/>
      <c r="L15" s="404"/>
      <c r="M15" s="496"/>
      <c r="N15" s="495"/>
      <c r="O15" s="403"/>
      <c r="P15" s="429"/>
      <c r="Q15" s="429"/>
      <c r="R15" s="429"/>
      <c r="S15" s="385"/>
      <c r="T15" s="385"/>
    </row>
    <row r="16" spans="1:20" ht="15">
      <c r="A16" s="434">
        <v>8</v>
      </c>
      <c r="C16" s="385" t="s">
        <v>556</v>
      </c>
      <c r="D16" s="849">
        <f>1494317+-14822</f>
        <v>1479495</v>
      </c>
      <c r="E16" s="850"/>
      <c r="F16" s="849">
        <v>3494864.68</v>
      </c>
      <c r="G16" s="851"/>
      <c r="H16" s="849">
        <f>1582523+10236</f>
        <v>1592759</v>
      </c>
      <c r="I16" s="850"/>
      <c r="J16" s="851">
        <v>4187610.08</v>
      </c>
      <c r="K16" s="851"/>
      <c r="L16" s="849">
        <f>1360381+-13837</f>
        <v>1346544</v>
      </c>
      <c r="M16" s="850"/>
      <c r="N16" s="851">
        <v>3547046.92</v>
      </c>
      <c r="O16" s="403"/>
      <c r="P16" s="429"/>
      <c r="Q16" s="429"/>
      <c r="R16" s="429"/>
      <c r="S16" s="385"/>
      <c r="T16" s="385"/>
    </row>
    <row r="17" spans="1:20" ht="15">
      <c r="A17" s="434">
        <v>9</v>
      </c>
      <c r="C17" s="385" t="s">
        <v>567</v>
      </c>
      <c r="D17" s="404"/>
      <c r="E17" s="496"/>
      <c r="F17" s="495"/>
      <c r="G17" s="495"/>
      <c r="H17" s="404"/>
      <c r="I17" s="496"/>
      <c r="J17" s="495"/>
      <c r="K17" s="495"/>
      <c r="L17" s="404"/>
      <c r="M17" s="496"/>
      <c r="N17" s="495"/>
      <c r="O17" s="403"/>
      <c r="P17" s="429"/>
      <c r="Q17" s="429"/>
      <c r="R17" s="429"/>
      <c r="S17" s="385"/>
      <c r="T17" s="385"/>
    </row>
    <row r="18" spans="1:20" ht="15">
      <c r="A18" s="434">
        <v>10</v>
      </c>
      <c r="C18" s="385" t="s">
        <v>570</v>
      </c>
      <c r="D18" s="404"/>
      <c r="E18" s="496"/>
      <c r="F18" s="495"/>
      <c r="G18" s="495"/>
      <c r="H18" s="404"/>
      <c r="I18" s="496"/>
      <c r="J18" s="495"/>
      <c r="K18" s="495"/>
      <c r="L18" s="404"/>
      <c r="M18" s="496"/>
      <c r="N18" s="495"/>
      <c r="O18" s="403"/>
      <c r="P18" s="429"/>
      <c r="Q18" s="429"/>
      <c r="R18" s="429"/>
      <c r="S18" s="385"/>
      <c r="T18" s="385"/>
    </row>
    <row r="19" spans="1:20" ht="15">
      <c r="A19" s="434">
        <v>11</v>
      </c>
      <c r="C19" s="385" t="s">
        <v>553</v>
      </c>
      <c r="D19" s="404"/>
      <c r="E19" s="463"/>
      <c r="F19" s="495"/>
      <c r="G19" s="495"/>
      <c r="H19" s="404"/>
      <c r="I19" s="496"/>
      <c r="J19" s="495"/>
      <c r="K19" s="495"/>
      <c r="L19" s="404"/>
      <c r="M19" s="496"/>
      <c r="N19" s="495"/>
      <c r="O19" s="403"/>
      <c r="P19" s="429"/>
      <c r="Q19" s="429"/>
      <c r="R19" s="429"/>
      <c r="S19" s="385"/>
      <c r="T19" s="385"/>
    </row>
    <row r="20" spans="1:20" ht="15">
      <c r="A20" s="434">
        <v>12</v>
      </c>
      <c r="C20" s="385" t="s">
        <v>552</v>
      </c>
      <c r="D20" s="404"/>
      <c r="E20" s="463"/>
      <c r="F20" s="495"/>
      <c r="G20" s="495"/>
      <c r="H20" s="404"/>
      <c r="I20" s="463"/>
      <c r="J20" s="495"/>
      <c r="K20" s="495"/>
      <c r="L20" s="404"/>
      <c r="M20" s="463"/>
      <c r="N20" s="495"/>
      <c r="O20" s="403"/>
      <c r="P20" s="429"/>
      <c r="Q20" s="429"/>
      <c r="R20" s="429"/>
      <c r="S20" s="385"/>
      <c r="T20" s="385"/>
    </row>
    <row r="21" spans="1:20" ht="15">
      <c r="A21" s="434">
        <v>13</v>
      </c>
      <c r="C21" s="385" t="s">
        <v>569</v>
      </c>
      <c r="D21" s="494"/>
      <c r="E21" s="463"/>
      <c r="F21" s="482"/>
      <c r="G21" s="500"/>
      <c r="H21" s="494"/>
      <c r="I21" s="463"/>
      <c r="J21" s="482"/>
      <c r="K21" s="500"/>
      <c r="L21" s="494"/>
      <c r="M21" s="463"/>
      <c r="N21" s="482"/>
      <c r="O21" s="390"/>
      <c r="P21" s="429"/>
      <c r="Q21" s="429"/>
      <c r="R21" s="429"/>
      <c r="S21" s="385"/>
      <c r="T21" s="385"/>
    </row>
    <row r="22" spans="1:20" ht="15">
      <c r="A22" s="434">
        <v>14</v>
      </c>
      <c r="B22" s="385"/>
      <c r="C22" s="385"/>
      <c r="D22" s="464"/>
      <c r="E22" s="497"/>
      <c r="F22" s="465"/>
      <c r="G22" s="465"/>
      <c r="H22" s="464"/>
      <c r="I22" s="497"/>
      <c r="J22" s="465"/>
      <c r="K22" s="465"/>
      <c r="L22" s="464"/>
      <c r="M22" s="497"/>
      <c r="N22" s="465"/>
      <c r="O22" s="403"/>
      <c r="P22" s="429"/>
      <c r="Q22" s="429"/>
      <c r="R22" s="429"/>
      <c r="S22" s="385"/>
      <c r="T22" s="385"/>
    </row>
    <row r="23" spans="1:20" ht="15.75">
      <c r="A23" s="434">
        <v>15</v>
      </c>
      <c r="B23" s="383" t="s">
        <v>560</v>
      </c>
      <c r="C23" s="385"/>
      <c r="D23" s="464">
        <f>SUM(D10:D22)</f>
        <v>1479495</v>
      </c>
      <c r="E23" s="433"/>
      <c r="F23" s="493">
        <f>SUM(F10:F22)</f>
        <v>3494864.68</v>
      </c>
      <c r="G23" s="493"/>
      <c r="H23" s="464">
        <f>SUM(H10:H22)</f>
        <v>1592759</v>
      </c>
      <c r="I23" s="433"/>
      <c r="J23" s="493">
        <f>SUM(J10:J22)</f>
        <v>4187610.08</v>
      </c>
      <c r="K23" s="493"/>
      <c r="L23" s="464">
        <f>SUM(L10:L22)</f>
        <v>1346544</v>
      </c>
      <c r="M23" s="433"/>
      <c r="N23" s="493">
        <f>SUM(N10:N22)</f>
        <v>3547046.92</v>
      </c>
      <c r="O23" s="405"/>
      <c r="P23" s="429"/>
      <c r="Q23" s="429"/>
      <c r="R23" s="429"/>
      <c r="S23" s="385"/>
      <c r="T23" s="385"/>
    </row>
    <row r="24" spans="1:20" ht="15.75">
      <c r="A24" s="434">
        <v>16</v>
      </c>
      <c r="B24" s="383"/>
      <c r="C24" s="385"/>
      <c r="D24" s="464"/>
      <c r="E24" s="464"/>
      <c r="F24" s="464"/>
      <c r="G24" s="464"/>
      <c r="H24" s="464"/>
      <c r="I24" s="464"/>
      <c r="J24" s="464"/>
      <c r="K24" s="464"/>
      <c r="L24" s="464"/>
      <c r="M24" s="464"/>
      <c r="N24" s="464"/>
      <c r="O24" s="392"/>
      <c r="P24" s="429"/>
      <c r="Q24" s="429"/>
      <c r="R24" s="429"/>
      <c r="S24" s="385"/>
      <c r="T24" s="385"/>
    </row>
    <row r="25" spans="1:20" ht="15">
      <c r="A25" s="434">
        <v>17</v>
      </c>
      <c r="B25" s="385"/>
      <c r="C25" s="385"/>
      <c r="D25" s="464"/>
      <c r="E25" s="433"/>
      <c r="F25" s="465"/>
      <c r="G25" s="465"/>
      <c r="H25" s="464"/>
      <c r="I25" s="433"/>
      <c r="J25" s="465"/>
      <c r="K25" s="433"/>
      <c r="L25" s="464"/>
      <c r="M25" s="433"/>
      <c r="N25" s="465"/>
      <c r="O25" s="385"/>
      <c r="P25" s="429"/>
      <c r="Q25" s="429"/>
      <c r="R25" s="429"/>
      <c r="S25" s="385"/>
      <c r="T25" s="385"/>
    </row>
    <row r="26" spans="1:20" ht="15.75">
      <c r="A26" s="434">
        <v>18</v>
      </c>
      <c r="B26" s="383" t="s">
        <v>559</v>
      </c>
      <c r="C26" s="385"/>
      <c r="D26" s="433"/>
      <c r="E26" s="433"/>
      <c r="F26" s="433"/>
      <c r="G26" s="433"/>
      <c r="H26" s="433"/>
      <c r="I26" s="433"/>
      <c r="J26" s="433"/>
      <c r="K26" s="433"/>
      <c r="L26" s="433"/>
      <c r="M26" s="433"/>
      <c r="N26" s="433"/>
      <c r="O26" s="385"/>
      <c r="P26" s="429"/>
      <c r="Q26" s="429"/>
      <c r="R26" s="429"/>
      <c r="S26" s="385"/>
      <c r="T26" s="385"/>
    </row>
    <row r="27" spans="1:20" ht="15">
      <c r="A27" s="434">
        <v>19</v>
      </c>
      <c r="C27" s="433" t="s">
        <v>1036</v>
      </c>
      <c r="D27" s="404"/>
      <c r="E27" s="496"/>
      <c r="F27" s="499"/>
      <c r="G27" s="495"/>
      <c r="H27" s="404"/>
      <c r="I27" s="496"/>
      <c r="J27" s="499"/>
      <c r="K27" s="495"/>
      <c r="L27" s="826"/>
      <c r="M27" s="496"/>
      <c r="N27" s="851"/>
      <c r="O27" s="403"/>
      <c r="P27" s="429"/>
      <c r="Q27" s="429"/>
      <c r="R27" s="429"/>
      <c r="S27" s="385"/>
      <c r="T27" s="385"/>
    </row>
    <row r="28" spans="1:20" ht="15">
      <c r="A28" s="434">
        <v>20</v>
      </c>
      <c r="C28" s="385" t="s">
        <v>556</v>
      </c>
      <c r="D28" s="826">
        <f>241658+-9816</f>
        <v>231842</v>
      </c>
      <c r="E28" s="850"/>
      <c r="F28" s="851">
        <v>628394.06999999995</v>
      </c>
      <c r="G28" s="852"/>
      <c r="H28" s="826">
        <f>208182+-8230</f>
        <v>199952</v>
      </c>
      <c r="I28" s="850"/>
      <c r="J28" s="851">
        <v>603749.09</v>
      </c>
      <c r="K28" s="852"/>
      <c r="L28" s="826">
        <f>220403+-12199</f>
        <v>208204</v>
      </c>
      <c r="M28" s="850"/>
      <c r="N28" s="851">
        <v>619279.75</v>
      </c>
      <c r="O28" s="385"/>
      <c r="P28" s="429"/>
      <c r="Q28" s="429"/>
      <c r="R28" s="429"/>
      <c r="S28" s="385"/>
      <c r="T28" s="385"/>
    </row>
    <row r="29" spans="1:20" ht="15">
      <c r="A29" s="434">
        <v>21</v>
      </c>
      <c r="C29" s="385" t="s">
        <v>568</v>
      </c>
      <c r="D29" s="404"/>
      <c r="E29" s="496"/>
      <c r="F29" s="495"/>
      <c r="G29" s="495"/>
      <c r="H29" s="404"/>
      <c r="I29" s="496"/>
      <c r="J29" s="495"/>
      <c r="K29" s="495"/>
      <c r="L29" s="404"/>
      <c r="M29" s="496"/>
      <c r="N29" s="495"/>
      <c r="O29" s="403"/>
      <c r="P29" s="429"/>
      <c r="Q29" s="429"/>
      <c r="R29" s="429"/>
      <c r="S29" s="385"/>
      <c r="T29" s="385"/>
    </row>
    <row r="30" spans="1:20" ht="15">
      <c r="A30" s="434">
        <v>22</v>
      </c>
      <c r="C30" s="385" t="s">
        <v>553</v>
      </c>
      <c r="D30" s="404"/>
      <c r="E30" s="496"/>
      <c r="F30" s="495"/>
      <c r="G30" s="495"/>
      <c r="H30" s="404"/>
      <c r="I30" s="496"/>
      <c r="J30" s="495"/>
      <c r="K30" s="495"/>
      <c r="L30" s="404"/>
      <c r="M30" s="496"/>
      <c r="N30" s="495"/>
      <c r="O30" s="403"/>
      <c r="P30" s="429"/>
      <c r="Q30" s="429"/>
      <c r="R30" s="429"/>
      <c r="S30" s="385"/>
      <c r="T30" s="385"/>
    </row>
    <row r="31" spans="1:20" ht="15">
      <c r="A31" s="434">
        <v>23</v>
      </c>
      <c r="C31" s="385" t="s">
        <v>552</v>
      </c>
      <c r="D31" s="404"/>
      <c r="E31" s="463"/>
      <c r="F31" s="495"/>
      <c r="G31" s="495"/>
      <c r="H31" s="404"/>
      <c r="I31" s="496"/>
      <c r="J31" s="495"/>
      <c r="K31" s="495"/>
      <c r="L31" s="404"/>
      <c r="M31" s="496"/>
      <c r="N31" s="495"/>
      <c r="O31" s="403"/>
      <c r="P31" s="429"/>
      <c r="Q31" s="429"/>
      <c r="R31" s="429"/>
      <c r="S31" s="385"/>
      <c r="T31" s="385"/>
    </row>
    <row r="32" spans="1:20" ht="15">
      <c r="A32" s="434">
        <v>24</v>
      </c>
      <c r="C32" s="385" t="s">
        <v>565</v>
      </c>
      <c r="D32" s="494"/>
      <c r="E32" s="463"/>
      <c r="F32" s="482"/>
      <c r="G32" s="463"/>
      <c r="H32" s="494"/>
      <c r="I32" s="463"/>
      <c r="J32" s="482"/>
      <c r="K32" s="463"/>
      <c r="L32" s="494"/>
      <c r="M32" s="463"/>
      <c r="N32" s="482"/>
      <c r="O32" s="385"/>
      <c r="P32" s="429"/>
      <c r="Q32" s="429"/>
      <c r="R32" s="429"/>
      <c r="S32" s="385"/>
      <c r="T32" s="385"/>
    </row>
    <row r="33" spans="1:20" ht="15">
      <c r="A33" s="434">
        <v>25</v>
      </c>
      <c r="B33" s="385"/>
      <c r="C33" s="385"/>
      <c r="D33" s="464"/>
      <c r="E33" s="497"/>
      <c r="F33" s="465"/>
      <c r="G33" s="465"/>
      <c r="H33" s="464"/>
      <c r="I33" s="497"/>
      <c r="J33" s="465"/>
      <c r="K33" s="465"/>
      <c r="L33" s="464"/>
      <c r="M33" s="497"/>
      <c r="N33" s="465"/>
      <c r="O33" s="403"/>
      <c r="P33" s="429"/>
      <c r="Q33" s="429"/>
      <c r="R33" s="429"/>
      <c r="S33" s="385"/>
      <c r="T33" s="385"/>
    </row>
    <row r="34" spans="1:20" ht="15.75">
      <c r="A34" s="434">
        <v>26</v>
      </c>
      <c r="B34" s="383" t="s">
        <v>245</v>
      </c>
      <c r="C34" s="385"/>
      <c r="D34" s="464">
        <f>SUM(D27:D32)</f>
        <v>231842</v>
      </c>
      <c r="E34" s="433"/>
      <c r="F34" s="493">
        <f>SUM(F27:F32)</f>
        <v>628394.06999999995</v>
      </c>
      <c r="G34" s="464"/>
      <c r="H34" s="464">
        <f>SUM(H27:H32)</f>
        <v>199952</v>
      </c>
      <c r="I34" s="433"/>
      <c r="J34" s="493">
        <f>SUM(J27:J32)</f>
        <v>603749.09</v>
      </c>
      <c r="K34" s="493"/>
      <c r="L34" s="464">
        <f>SUM(L27:L32)</f>
        <v>208204</v>
      </c>
      <c r="M34" s="433"/>
      <c r="N34" s="493">
        <f>SUM(N27:N32)</f>
        <v>619279.75</v>
      </c>
      <c r="O34" s="405"/>
      <c r="P34" s="429"/>
      <c r="Q34" s="429"/>
      <c r="R34" s="429"/>
      <c r="S34" s="385"/>
    </row>
    <row r="35" spans="1:20" ht="15.75">
      <c r="A35" s="434">
        <v>27</v>
      </c>
      <c r="B35" s="383"/>
      <c r="C35" s="385"/>
      <c r="D35" s="464"/>
      <c r="E35" s="433"/>
      <c r="F35" s="433"/>
      <c r="G35" s="433"/>
      <c r="H35" s="464"/>
      <c r="I35" s="433"/>
      <c r="J35" s="433"/>
      <c r="K35" s="433"/>
      <c r="L35" s="464"/>
      <c r="M35" s="433"/>
      <c r="N35" s="433"/>
      <c r="O35" s="385"/>
      <c r="P35" s="429"/>
      <c r="Q35" s="429"/>
      <c r="R35" s="429"/>
      <c r="S35" s="385"/>
    </row>
    <row r="36" spans="1:20" ht="15.75">
      <c r="A36" s="434">
        <v>28</v>
      </c>
      <c r="B36" s="383"/>
      <c r="C36" s="385"/>
      <c r="D36" s="465"/>
      <c r="E36" s="465"/>
      <c r="F36" s="433"/>
      <c r="G36" s="433"/>
      <c r="H36" s="465"/>
      <c r="I36" s="465"/>
      <c r="J36" s="433"/>
      <c r="K36" s="433"/>
      <c r="L36" s="465"/>
      <c r="M36" s="465"/>
      <c r="N36" s="433"/>
      <c r="O36" s="385"/>
      <c r="P36" s="429"/>
      <c r="Q36" s="429"/>
      <c r="R36" s="429"/>
      <c r="S36" s="385"/>
    </row>
    <row r="37" spans="1:20" ht="15.75">
      <c r="A37" s="434">
        <v>29</v>
      </c>
      <c r="B37" s="383" t="s">
        <v>360</v>
      </c>
      <c r="C37" s="385"/>
      <c r="D37" s="433"/>
      <c r="E37" s="433"/>
      <c r="F37" s="433"/>
      <c r="G37" s="433"/>
      <c r="H37" s="433"/>
      <c r="I37" s="433"/>
      <c r="J37" s="433"/>
      <c r="K37" s="433"/>
      <c r="L37" s="433"/>
      <c r="M37" s="433"/>
      <c r="N37" s="433"/>
      <c r="O37" s="385"/>
      <c r="P37" s="429"/>
      <c r="Q37" s="429"/>
      <c r="R37" s="429"/>
      <c r="S37" s="385"/>
      <c r="T37" s="385"/>
    </row>
    <row r="38" spans="1:20" ht="15">
      <c r="A38" s="434">
        <v>30</v>
      </c>
      <c r="C38" s="385" t="s">
        <v>556</v>
      </c>
      <c r="D38" s="826">
        <f>+-20+20</f>
        <v>0</v>
      </c>
      <c r="E38" s="850"/>
      <c r="F38" s="851">
        <f>+-51.6</f>
        <v>-51.6</v>
      </c>
      <c r="G38" s="851"/>
      <c r="H38" s="826">
        <f>12-12</f>
        <v>0</v>
      </c>
      <c r="I38" s="850"/>
      <c r="J38" s="851">
        <v>33.44</v>
      </c>
      <c r="K38" s="851"/>
      <c r="L38" s="826">
        <f>-9+9</f>
        <v>0</v>
      </c>
      <c r="M38" s="850"/>
      <c r="N38" s="851">
        <v>-24.27</v>
      </c>
      <c r="O38" s="403"/>
      <c r="P38" s="429"/>
      <c r="Q38" s="429"/>
      <c r="R38" s="429"/>
      <c r="S38" s="385"/>
      <c r="T38" s="385"/>
    </row>
    <row r="39" spans="1:20" ht="15">
      <c r="A39" s="434">
        <v>31</v>
      </c>
      <c r="C39" s="385" t="s">
        <v>567</v>
      </c>
      <c r="D39" s="404"/>
      <c r="E39" s="496"/>
      <c r="F39" s="495"/>
      <c r="G39" s="495"/>
      <c r="H39" s="404"/>
      <c r="I39" s="496"/>
      <c r="J39" s="495"/>
      <c r="K39" s="495"/>
      <c r="L39" s="404"/>
      <c r="M39" s="496"/>
      <c r="N39" s="495"/>
      <c r="O39" s="403"/>
      <c r="P39" s="429"/>
      <c r="Q39" s="429"/>
      <c r="R39" s="429"/>
      <c r="S39" s="385"/>
      <c r="T39" s="385"/>
    </row>
    <row r="40" spans="1:20" ht="15">
      <c r="A40" s="434">
        <v>32</v>
      </c>
      <c r="C40" s="385" t="s">
        <v>553</v>
      </c>
      <c r="D40" s="404"/>
      <c r="E40" s="496"/>
      <c r="F40" s="495"/>
      <c r="G40" s="495"/>
      <c r="H40" s="404"/>
      <c r="I40" s="496"/>
      <c r="J40" s="495"/>
      <c r="K40" s="495"/>
      <c r="L40" s="404"/>
      <c r="M40" s="496"/>
      <c r="N40" s="495"/>
      <c r="O40" s="403"/>
      <c r="P40" s="429"/>
      <c r="Q40" s="429"/>
      <c r="R40" s="429"/>
      <c r="S40" s="385"/>
      <c r="T40" s="385"/>
    </row>
    <row r="41" spans="1:20" ht="15">
      <c r="A41" s="434">
        <v>33</v>
      </c>
      <c r="C41" s="385" t="s">
        <v>552</v>
      </c>
      <c r="D41" s="404"/>
      <c r="E41" s="463"/>
      <c r="F41" s="495"/>
      <c r="G41" s="495"/>
      <c r="H41" s="404"/>
      <c r="I41" s="463"/>
      <c r="J41" s="495"/>
      <c r="K41" s="495"/>
      <c r="L41" s="404"/>
      <c r="M41" s="463"/>
      <c r="N41" s="495"/>
      <c r="O41" s="403"/>
      <c r="P41" s="429"/>
      <c r="Q41" s="429"/>
      <c r="R41" s="429"/>
      <c r="S41" s="385"/>
      <c r="T41" s="385"/>
    </row>
    <row r="42" spans="1:20" ht="15">
      <c r="A42" s="434">
        <v>34</v>
      </c>
      <c r="C42" s="385" t="s">
        <v>565</v>
      </c>
      <c r="D42" s="494"/>
      <c r="E42" s="463"/>
      <c r="F42" s="498"/>
      <c r="G42" s="463"/>
      <c r="H42" s="494"/>
      <c r="I42" s="463"/>
      <c r="J42" s="482"/>
      <c r="K42" s="463"/>
      <c r="L42" s="494"/>
      <c r="M42" s="463"/>
      <c r="N42" s="482"/>
      <c r="O42" s="385"/>
      <c r="P42" s="429"/>
      <c r="Q42" s="429"/>
      <c r="R42" s="429"/>
      <c r="S42" s="385"/>
      <c r="T42" s="385"/>
    </row>
    <row r="43" spans="1:20" ht="15">
      <c r="A43" s="434">
        <v>35</v>
      </c>
      <c r="B43" s="385"/>
      <c r="C43" s="385"/>
      <c r="D43" s="464"/>
      <c r="E43" s="497"/>
      <c r="F43" s="465"/>
      <c r="G43" s="465"/>
      <c r="H43" s="464"/>
      <c r="I43" s="497"/>
      <c r="J43" s="465"/>
      <c r="K43" s="465"/>
      <c r="L43" s="464"/>
      <c r="M43" s="497"/>
      <c r="N43" s="465"/>
      <c r="O43" s="403"/>
      <c r="P43" s="429"/>
      <c r="Q43" s="429"/>
      <c r="R43" s="429"/>
      <c r="S43" s="385"/>
      <c r="T43" s="385"/>
    </row>
    <row r="44" spans="1:20" ht="15.75">
      <c r="A44" s="434">
        <v>36</v>
      </c>
      <c r="B44" s="383" t="s">
        <v>245</v>
      </c>
      <c r="C44" s="385"/>
      <c r="D44" s="464">
        <f>SUM(D38:D42)</f>
        <v>0</v>
      </c>
      <c r="E44" s="433"/>
      <c r="F44" s="493">
        <f>SUM(F38:F42)</f>
        <v>-51.6</v>
      </c>
      <c r="G44" s="464"/>
      <c r="H44" s="464">
        <f>SUM(H38:H42)</f>
        <v>0</v>
      </c>
      <c r="I44" s="433"/>
      <c r="J44" s="493">
        <f>SUM(J38:J42)</f>
        <v>33.44</v>
      </c>
      <c r="K44" s="493"/>
      <c r="L44" s="464">
        <f>SUM(L38:L42)</f>
        <v>0</v>
      </c>
      <c r="M44" s="433"/>
      <c r="N44" s="493">
        <f>SUM(N38:N42)</f>
        <v>-24.27</v>
      </c>
      <c r="O44" s="405"/>
      <c r="P44" s="429"/>
      <c r="Q44" s="429"/>
      <c r="R44" s="429"/>
      <c r="S44" s="385"/>
    </row>
    <row r="45" spans="1:20" ht="15.75">
      <c r="A45" s="434">
        <v>37</v>
      </c>
      <c r="B45" s="383"/>
      <c r="C45" s="385"/>
      <c r="D45" s="464"/>
      <c r="E45" s="433"/>
      <c r="F45" s="433"/>
      <c r="G45" s="433"/>
      <c r="H45" s="464"/>
      <c r="I45" s="433"/>
      <c r="J45" s="433"/>
      <c r="K45" s="433"/>
      <c r="L45" s="464"/>
      <c r="M45" s="433"/>
      <c r="N45" s="433"/>
      <c r="O45" s="385"/>
      <c r="P45" s="429"/>
      <c r="Q45" s="429"/>
      <c r="R45" s="429"/>
      <c r="S45" s="385"/>
    </row>
    <row r="46" spans="1:20" ht="15.75">
      <c r="A46" s="434">
        <v>38</v>
      </c>
      <c r="B46" s="383"/>
      <c r="C46" s="385"/>
      <c r="D46" s="465"/>
      <c r="E46" s="465"/>
      <c r="F46" s="433"/>
      <c r="G46" s="433"/>
      <c r="H46" s="465"/>
      <c r="I46" s="465"/>
      <c r="J46" s="433"/>
      <c r="K46" s="433"/>
      <c r="L46" s="465"/>
      <c r="M46" s="465"/>
      <c r="N46" s="433"/>
      <c r="O46" s="385"/>
      <c r="P46" s="429"/>
      <c r="Q46" s="429"/>
      <c r="R46" s="429"/>
      <c r="S46" s="385"/>
    </row>
    <row r="47" spans="1:20" ht="15.75">
      <c r="A47" s="434">
        <v>39</v>
      </c>
      <c r="B47" s="383" t="s">
        <v>558</v>
      </c>
      <c r="C47" s="385"/>
      <c r="D47" s="433"/>
      <c r="E47" s="433"/>
      <c r="F47" s="433"/>
      <c r="G47" s="433"/>
      <c r="H47" s="433"/>
      <c r="I47" s="433"/>
      <c r="J47" s="433"/>
      <c r="K47" s="433"/>
      <c r="L47" s="433"/>
      <c r="M47" s="433"/>
      <c r="N47" s="433"/>
      <c r="O47" s="385"/>
      <c r="P47" s="429"/>
      <c r="Q47" s="429"/>
      <c r="R47" s="429"/>
      <c r="S47" s="385"/>
      <c r="T47" s="385"/>
    </row>
    <row r="48" spans="1:20" ht="15">
      <c r="A48" s="434">
        <v>40</v>
      </c>
      <c r="C48" s="385" t="s">
        <v>556</v>
      </c>
      <c r="D48" s="404"/>
      <c r="E48" s="496"/>
      <c r="F48" s="495"/>
      <c r="G48" s="495"/>
      <c r="H48" s="404"/>
      <c r="I48" s="496"/>
      <c r="J48" s="495"/>
      <c r="K48" s="495"/>
      <c r="L48" s="404"/>
      <c r="M48" s="496"/>
      <c r="N48" s="495"/>
      <c r="O48" s="403"/>
      <c r="P48" s="429"/>
      <c r="Q48" s="429"/>
      <c r="R48" s="429"/>
      <c r="S48" s="385"/>
      <c r="T48" s="385"/>
    </row>
    <row r="49" spans="1:20" ht="15">
      <c r="A49" s="434">
        <v>41</v>
      </c>
      <c r="C49" s="385" t="s">
        <v>566</v>
      </c>
      <c r="D49" s="826">
        <f>+-321+1</f>
        <v>-320</v>
      </c>
      <c r="E49" s="850"/>
      <c r="F49" s="851">
        <f>+-976.63</f>
        <v>-976.63</v>
      </c>
      <c r="G49" s="851"/>
      <c r="H49" s="826">
        <v>438</v>
      </c>
      <c r="I49" s="850"/>
      <c r="J49" s="851">
        <v>1282.2</v>
      </c>
      <c r="K49" s="851"/>
      <c r="L49" s="826">
        <f>+-72+-1</f>
        <v>-73</v>
      </c>
      <c r="M49" s="850"/>
      <c r="N49" s="851">
        <v>-218.08</v>
      </c>
      <c r="O49" s="403"/>
      <c r="P49" s="429"/>
      <c r="Q49" s="429"/>
      <c r="R49" s="429"/>
      <c r="S49" s="385"/>
      <c r="T49" s="385"/>
    </row>
    <row r="50" spans="1:20" ht="15">
      <c r="A50" s="434">
        <v>42</v>
      </c>
      <c r="C50" s="385" t="s">
        <v>554</v>
      </c>
      <c r="D50" s="404"/>
      <c r="E50" s="496"/>
      <c r="F50" s="495"/>
      <c r="G50" s="495"/>
      <c r="H50" s="404"/>
      <c r="I50" s="496"/>
      <c r="J50" s="495"/>
      <c r="K50" s="495"/>
      <c r="L50" s="404"/>
      <c r="M50" s="496"/>
      <c r="N50" s="495"/>
      <c r="O50" s="403"/>
      <c r="P50" s="429"/>
      <c r="Q50" s="429"/>
      <c r="R50" s="429"/>
      <c r="S50" s="385"/>
      <c r="T50" s="385"/>
    </row>
    <row r="51" spans="1:20" ht="15">
      <c r="A51" s="434">
        <v>43</v>
      </c>
      <c r="C51" s="385" t="s">
        <v>553</v>
      </c>
      <c r="D51" s="404"/>
      <c r="E51" s="496"/>
      <c r="F51" s="495"/>
      <c r="G51" s="495"/>
      <c r="H51" s="404"/>
      <c r="I51" s="496"/>
      <c r="J51" s="495"/>
      <c r="K51" s="495"/>
      <c r="L51" s="404"/>
      <c r="M51" s="496"/>
      <c r="N51" s="495"/>
      <c r="O51" s="403"/>
      <c r="P51" s="429"/>
      <c r="Q51" s="429"/>
      <c r="R51" s="429"/>
      <c r="S51" s="385"/>
      <c r="T51" s="385"/>
    </row>
    <row r="52" spans="1:20" ht="15">
      <c r="A52" s="434">
        <v>44</v>
      </c>
      <c r="C52" s="385" t="s">
        <v>552</v>
      </c>
      <c r="D52" s="404"/>
      <c r="E52" s="463"/>
      <c r="F52" s="495"/>
      <c r="G52" s="495"/>
      <c r="H52" s="404"/>
      <c r="I52" s="463"/>
      <c r="J52" s="495"/>
      <c r="K52" s="495"/>
      <c r="L52" s="404"/>
      <c r="M52" s="463"/>
      <c r="N52" s="495"/>
      <c r="O52" s="403"/>
      <c r="P52" s="429"/>
      <c r="Q52" s="429"/>
      <c r="R52" s="429"/>
      <c r="S52" s="385"/>
      <c r="T52" s="385"/>
    </row>
    <row r="53" spans="1:20" ht="15">
      <c r="A53" s="434">
        <v>45</v>
      </c>
      <c r="C53" s="385" t="s">
        <v>565</v>
      </c>
      <c r="D53" s="494"/>
      <c r="E53" s="463"/>
      <c r="F53" s="482"/>
      <c r="G53" s="463"/>
      <c r="H53" s="494"/>
      <c r="I53" s="463"/>
      <c r="J53" s="482"/>
      <c r="K53" s="463"/>
      <c r="L53" s="494"/>
      <c r="M53" s="463"/>
      <c r="N53" s="482"/>
      <c r="O53" s="385"/>
      <c r="P53" s="429"/>
      <c r="Q53" s="429"/>
      <c r="R53" s="429"/>
      <c r="S53" s="385"/>
      <c r="T53" s="385"/>
    </row>
    <row r="54" spans="1:20" ht="15">
      <c r="A54" s="434">
        <v>46</v>
      </c>
      <c r="B54" s="385"/>
      <c r="C54" s="385"/>
      <c r="D54" s="464"/>
      <c r="E54" s="497"/>
      <c r="F54" s="465"/>
      <c r="G54" s="465"/>
      <c r="H54" s="464"/>
      <c r="I54" s="497"/>
      <c r="J54" s="465"/>
      <c r="K54" s="465"/>
      <c r="L54" s="464"/>
      <c r="M54" s="497"/>
      <c r="N54" s="465"/>
      <c r="O54" s="403"/>
      <c r="P54" s="429"/>
      <c r="Q54" s="429"/>
      <c r="R54" s="429"/>
      <c r="S54" s="385"/>
      <c r="T54" s="385"/>
    </row>
    <row r="55" spans="1:20" ht="15.75">
      <c r="A55" s="434">
        <v>47</v>
      </c>
      <c r="B55" s="383" t="s">
        <v>245</v>
      </c>
      <c r="C55" s="385"/>
      <c r="D55" s="464">
        <f>SUM(D48:D53)</f>
        <v>-320</v>
      </c>
      <c r="E55" s="433"/>
      <c r="F55" s="493">
        <f>SUM(F48:F53)</f>
        <v>-976.63</v>
      </c>
      <c r="G55" s="464"/>
      <c r="H55" s="464">
        <f>SUM(H48:H53)</f>
        <v>438</v>
      </c>
      <c r="I55" s="433"/>
      <c r="J55" s="493">
        <f>SUM(J48:J53)</f>
        <v>1282.2</v>
      </c>
      <c r="K55" s="493"/>
      <c r="L55" s="464">
        <f>SUM(L48:L53)</f>
        <v>-73</v>
      </c>
      <c r="M55" s="433"/>
      <c r="N55" s="493">
        <f>SUM(N48:N53)</f>
        <v>-218.08</v>
      </c>
      <c r="O55" s="405"/>
      <c r="P55" s="429"/>
      <c r="Q55" s="429"/>
      <c r="R55" s="429"/>
      <c r="S55" s="385"/>
    </row>
    <row r="56" spans="1:20" ht="15.75">
      <c r="A56" s="434">
        <v>48</v>
      </c>
      <c r="B56" s="383"/>
      <c r="C56" s="385"/>
      <c r="D56" s="464"/>
      <c r="E56" s="433"/>
      <c r="F56" s="433"/>
      <c r="G56" s="433"/>
      <c r="H56" s="464"/>
      <c r="I56" s="433"/>
      <c r="J56" s="433"/>
      <c r="K56" s="433"/>
      <c r="L56" s="464"/>
      <c r="M56" s="433"/>
      <c r="N56" s="433"/>
      <c r="O56" s="385"/>
      <c r="P56" s="429"/>
      <c r="Q56" s="429"/>
      <c r="R56" s="429"/>
      <c r="S56" s="385"/>
    </row>
    <row r="57" spans="1:20" ht="15.75">
      <c r="A57" s="434">
        <v>49</v>
      </c>
      <c r="B57" s="383"/>
      <c r="C57" s="385"/>
      <c r="D57" s="465"/>
      <c r="E57" s="465"/>
      <c r="F57" s="433"/>
      <c r="G57" s="433"/>
      <c r="H57" s="465"/>
      <c r="I57" s="465"/>
      <c r="J57" s="433"/>
      <c r="K57" s="433"/>
      <c r="L57" s="465"/>
      <c r="M57" s="465"/>
      <c r="N57" s="433"/>
      <c r="O57" s="385"/>
      <c r="P57" s="429"/>
      <c r="Q57" s="429"/>
      <c r="R57" s="429"/>
      <c r="S57" s="385"/>
    </row>
    <row r="58" spans="1:20" ht="15.75">
      <c r="A58" s="434">
        <v>50</v>
      </c>
      <c r="B58" s="383" t="s">
        <v>557</v>
      </c>
      <c r="C58" s="385"/>
      <c r="D58" s="465"/>
      <c r="E58" s="465"/>
      <c r="F58" s="433"/>
      <c r="G58" s="433"/>
      <c r="H58" s="465"/>
      <c r="I58" s="465"/>
      <c r="J58" s="433"/>
      <c r="K58" s="433"/>
      <c r="L58" s="465"/>
      <c r="M58" s="465"/>
      <c r="N58" s="433"/>
      <c r="O58" s="385"/>
      <c r="P58" s="429"/>
      <c r="Q58" s="429"/>
      <c r="R58" s="429"/>
      <c r="S58" s="385"/>
    </row>
    <row r="59" spans="1:20" ht="15">
      <c r="A59" s="434">
        <v>51</v>
      </c>
      <c r="C59" s="385" t="s">
        <v>556</v>
      </c>
      <c r="D59" s="404">
        <v>0</v>
      </c>
      <c r="E59" s="465"/>
      <c r="F59" s="495">
        <v>-173.13</v>
      </c>
      <c r="G59" s="495"/>
      <c r="H59" s="826">
        <v>0</v>
      </c>
      <c r="I59" s="496"/>
      <c r="J59" s="851">
        <f>+-212.8</f>
        <v>-212.8</v>
      </c>
      <c r="K59" s="495"/>
      <c r="L59" s="404">
        <v>0</v>
      </c>
      <c r="M59" s="496"/>
      <c r="N59" s="495">
        <v>-208.66</v>
      </c>
      <c r="O59" s="403"/>
      <c r="P59" s="429"/>
      <c r="Q59" s="429"/>
      <c r="R59" s="429"/>
      <c r="S59" s="385"/>
      <c r="T59" s="385"/>
    </row>
    <row r="60" spans="1:20" ht="15.75">
      <c r="A60" s="434">
        <v>52</v>
      </c>
      <c r="B60" s="383"/>
      <c r="C60" s="385" t="s">
        <v>555</v>
      </c>
      <c r="D60" s="404"/>
      <c r="E60" s="465"/>
      <c r="F60" s="495"/>
      <c r="G60" s="495"/>
      <c r="H60" s="404"/>
      <c r="I60" s="496"/>
      <c r="J60" s="495"/>
      <c r="K60" s="495"/>
      <c r="L60" s="404"/>
      <c r="M60" s="496"/>
      <c r="N60" s="495"/>
      <c r="O60" s="385"/>
      <c r="P60" s="429"/>
      <c r="Q60" s="429"/>
      <c r="R60" s="429"/>
      <c r="S60" s="385"/>
    </row>
    <row r="61" spans="1:20" ht="15.75">
      <c r="A61" s="434">
        <v>53</v>
      </c>
      <c r="B61" s="383"/>
      <c r="C61" s="385" t="s">
        <v>554</v>
      </c>
      <c r="D61" s="404"/>
      <c r="E61" s="465"/>
      <c r="F61" s="495"/>
      <c r="G61" s="495"/>
      <c r="H61" s="404"/>
      <c r="I61" s="496"/>
      <c r="J61" s="495"/>
      <c r="K61" s="495"/>
      <c r="L61" s="404"/>
      <c r="M61" s="496"/>
      <c r="N61" s="495"/>
      <c r="O61" s="385"/>
      <c r="P61" s="429"/>
      <c r="Q61" s="429"/>
      <c r="R61" s="429"/>
      <c r="S61" s="385"/>
    </row>
    <row r="62" spans="1:20" ht="15.75">
      <c r="A62" s="434">
        <v>54</v>
      </c>
      <c r="B62" s="383"/>
      <c r="C62" s="385" t="s">
        <v>553</v>
      </c>
      <c r="D62" s="404"/>
      <c r="E62" s="465"/>
      <c r="F62" s="495"/>
      <c r="G62" s="495"/>
      <c r="H62" s="404"/>
      <c r="I62" s="496"/>
      <c r="J62" s="495"/>
      <c r="K62" s="495"/>
      <c r="L62" s="404"/>
      <c r="M62" s="496"/>
      <c r="N62" s="495"/>
      <c r="O62" s="385"/>
      <c r="P62" s="429"/>
      <c r="Q62" s="429"/>
      <c r="R62" s="429"/>
      <c r="S62" s="385"/>
    </row>
    <row r="63" spans="1:20" ht="15.75">
      <c r="A63" s="434">
        <v>55</v>
      </c>
      <c r="B63" s="383"/>
      <c r="C63" s="385" t="s">
        <v>552</v>
      </c>
      <c r="D63" s="404"/>
      <c r="E63" s="465"/>
      <c r="F63" s="495"/>
      <c r="G63" s="495"/>
      <c r="H63" s="404"/>
      <c r="I63" s="463"/>
      <c r="J63" s="495"/>
      <c r="K63" s="495"/>
      <c r="L63" s="404"/>
      <c r="M63" s="463"/>
      <c r="N63" s="495"/>
      <c r="O63" s="385"/>
      <c r="P63" s="429"/>
      <c r="Q63" s="429"/>
      <c r="R63" s="429"/>
      <c r="S63" s="385"/>
    </row>
    <row r="64" spans="1:20" ht="15">
      <c r="A64" s="434">
        <v>56</v>
      </c>
      <c r="C64" s="385" t="s">
        <v>565</v>
      </c>
      <c r="D64" s="494"/>
      <c r="E64" s="463"/>
      <c r="F64" s="482"/>
      <c r="G64" s="463"/>
      <c r="H64" s="494"/>
      <c r="I64" s="463"/>
      <c r="J64" s="482"/>
      <c r="K64" s="463"/>
      <c r="L64" s="494"/>
      <c r="M64" s="463"/>
      <c r="N64" s="482"/>
      <c r="O64" s="385"/>
      <c r="P64" s="429"/>
      <c r="Q64" s="429"/>
      <c r="R64" s="429"/>
      <c r="S64" s="385"/>
      <c r="T64" s="385"/>
    </row>
    <row r="65" spans="1:19" ht="15.75">
      <c r="A65" s="434">
        <v>57</v>
      </c>
      <c r="B65" s="383"/>
      <c r="C65" s="385"/>
      <c r="D65" s="465"/>
      <c r="E65" s="465"/>
      <c r="F65" s="433"/>
      <c r="G65" s="433"/>
      <c r="H65" s="465"/>
      <c r="I65" s="465"/>
      <c r="J65" s="433"/>
      <c r="K65" s="433"/>
      <c r="L65" s="465"/>
      <c r="M65" s="465"/>
      <c r="N65" s="433"/>
      <c r="O65" s="385"/>
      <c r="P65" s="429"/>
      <c r="Q65" s="429"/>
      <c r="R65" s="429"/>
      <c r="S65" s="385"/>
    </row>
    <row r="66" spans="1:19" ht="15.75">
      <c r="A66" s="434">
        <v>58</v>
      </c>
      <c r="B66" s="383" t="s">
        <v>245</v>
      </c>
      <c r="C66" s="385"/>
      <c r="D66" s="464">
        <f>SUM(D59:D64)</f>
        <v>0</v>
      </c>
      <c r="E66" s="433"/>
      <c r="F66" s="493">
        <f>SUM(F59:F64)</f>
        <v>-173.13</v>
      </c>
      <c r="G66" s="464"/>
      <c r="H66" s="464">
        <f>SUM(H59:H64)</f>
        <v>0</v>
      </c>
      <c r="I66" s="433"/>
      <c r="J66" s="493">
        <f>SUM(J59:J64)</f>
        <v>-212.8</v>
      </c>
      <c r="K66" s="493"/>
      <c r="L66" s="464">
        <f>SUM(L59:L64)</f>
        <v>0</v>
      </c>
      <c r="M66" s="433"/>
      <c r="N66" s="493">
        <f>SUM(N59:N64)</f>
        <v>-208.66</v>
      </c>
      <c r="O66" s="385"/>
      <c r="P66" s="429"/>
      <c r="Q66" s="429"/>
      <c r="R66" s="429"/>
      <c r="S66" s="385"/>
    </row>
    <row r="67" spans="1:19" ht="15.75">
      <c r="A67" s="434">
        <v>59</v>
      </c>
      <c r="B67" s="383"/>
      <c r="C67" s="385"/>
      <c r="D67" s="465"/>
      <c r="E67" s="465"/>
      <c r="F67" s="433"/>
      <c r="G67" s="433"/>
      <c r="H67" s="465"/>
      <c r="I67" s="465"/>
      <c r="J67" s="433"/>
      <c r="K67" s="433"/>
      <c r="L67" s="465"/>
      <c r="M67" s="465"/>
      <c r="N67" s="433"/>
      <c r="O67" s="385"/>
      <c r="P67" s="429"/>
      <c r="Q67" s="429"/>
      <c r="R67" s="429"/>
      <c r="S67" s="385"/>
    </row>
    <row r="68" spans="1:19" ht="15.75">
      <c r="A68" s="434">
        <v>60</v>
      </c>
      <c r="B68" s="383"/>
      <c r="C68" s="385"/>
      <c r="D68" s="465"/>
      <c r="E68" s="465"/>
      <c r="F68" s="433"/>
      <c r="G68" s="433"/>
      <c r="H68" s="465"/>
      <c r="I68" s="465"/>
      <c r="J68" s="433"/>
      <c r="K68" s="433"/>
      <c r="L68" s="465"/>
      <c r="M68" s="465"/>
      <c r="N68" s="433"/>
      <c r="O68" s="385"/>
      <c r="P68" s="429"/>
      <c r="Q68" s="429"/>
      <c r="R68" s="429"/>
      <c r="S68" s="385"/>
    </row>
    <row r="69" spans="1:19" ht="15.75">
      <c r="A69" s="434">
        <v>61</v>
      </c>
      <c r="B69" s="423" t="s">
        <v>551</v>
      </c>
      <c r="C69" s="381"/>
      <c r="D69" s="465"/>
      <c r="E69" s="465"/>
      <c r="F69" s="433"/>
      <c r="G69" s="433"/>
      <c r="H69" s="465"/>
      <c r="I69" s="465"/>
      <c r="J69" s="433"/>
      <c r="K69" s="433"/>
      <c r="L69" s="465"/>
      <c r="M69" s="465"/>
      <c r="N69" s="433"/>
      <c r="O69" s="385"/>
      <c r="P69" s="429"/>
      <c r="Q69" s="429"/>
      <c r="R69" s="429"/>
      <c r="S69" s="385"/>
    </row>
    <row r="70" spans="1:19" ht="15">
      <c r="A70" s="434">
        <v>62</v>
      </c>
      <c r="C70" s="385" t="s">
        <v>245</v>
      </c>
      <c r="D70" s="464">
        <f>D23+D34+D44+D55+D66</f>
        <v>1711017</v>
      </c>
      <c r="E70" s="433"/>
      <c r="F70" s="493">
        <f>F23+F34+F44+F55+F66</f>
        <v>4122057.39</v>
      </c>
      <c r="G70" s="493"/>
      <c r="H70" s="464">
        <f>H23+H34+H44+H55+H66</f>
        <v>1793149</v>
      </c>
      <c r="I70" s="433"/>
      <c r="J70" s="493">
        <f>J23+J34+J44+J55+J66</f>
        <v>4792462.0100000007</v>
      </c>
      <c r="K70" s="493"/>
      <c r="L70" s="464">
        <f>L23+L34+L44+L55+L66</f>
        <v>1554675</v>
      </c>
      <c r="M70" s="433"/>
      <c r="N70" s="493">
        <f>N23+N34+N44+N55+N66</f>
        <v>4165875.6599999997</v>
      </c>
      <c r="O70" s="493"/>
      <c r="P70" s="429"/>
      <c r="Q70" s="429"/>
      <c r="R70" s="429"/>
      <c r="S70" s="385"/>
    </row>
    <row r="71" spans="1:19" ht="15">
      <c r="A71" s="434">
        <v>63</v>
      </c>
      <c r="C71" s="385"/>
      <c r="D71" s="464"/>
      <c r="E71" s="433"/>
      <c r="F71" s="648"/>
      <c r="G71" s="392"/>
      <c r="H71" s="464"/>
      <c r="I71" s="433"/>
      <c r="J71" s="648"/>
      <c r="K71" s="392"/>
      <c r="L71" s="392"/>
      <c r="M71" s="385"/>
      <c r="N71" s="613"/>
      <c r="O71" s="392"/>
      <c r="P71" s="429"/>
      <c r="Q71" s="429"/>
      <c r="R71" s="429"/>
      <c r="S71" s="385"/>
    </row>
    <row r="72" spans="1:19" ht="15">
      <c r="A72" s="434">
        <v>64</v>
      </c>
      <c r="B72" s="385"/>
      <c r="C72" s="385"/>
      <c r="D72" s="433"/>
      <c r="E72" s="433"/>
      <c r="F72" s="493"/>
      <c r="G72" s="385"/>
      <c r="H72" s="433"/>
      <c r="I72" s="433"/>
      <c r="J72" s="433" t="s">
        <v>550</v>
      </c>
      <c r="K72" s="385"/>
      <c r="L72" s="385"/>
      <c r="M72" s="385"/>
      <c r="N72" s="612"/>
      <c r="O72" s="385"/>
      <c r="P72" s="607"/>
      <c r="Q72" s="429"/>
      <c r="R72" s="429"/>
      <c r="S72" s="385"/>
    </row>
    <row r="73" spans="1:19" ht="15">
      <c r="A73" s="434">
        <v>65</v>
      </c>
      <c r="B73" s="385"/>
      <c r="C73" s="385"/>
      <c r="D73" s="385" t="s">
        <v>549</v>
      </c>
      <c r="E73" s="385"/>
      <c r="F73" s="385"/>
      <c r="G73" s="385"/>
      <c r="H73" s="433"/>
      <c r="I73" s="433"/>
      <c r="J73" s="433"/>
      <c r="K73" s="385"/>
      <c r="L73" s="385"/>
      <c r="M73" s="385"/>
      <c r="N73" s="385"/>
      <c r="O73" s="385"/>
      <c r="P73" s="429"/>
      <c r="Q73" s="429"/>
      <c r="R73" s="429"/>
      <c r="S73" s="385"/>
    </row>
    <row r="74" spans="1:19" ht="15">
      <c r="B74" s="385"/>
      <c r="C74" s="385"/>
      <c r="D74" s="385"/>
      <c r="E74" s="385"/>
      <c r="F74" s="385"/>
      <c r="G74" s="385"/>
      <c r="H74" s="433"/>
      <c r="I74" s="433"/>
      <c r="J74" s="433"/>
      <c r="K74" s="385"/>
      <c r="L74" s="385"/>
      <c r="M74" s="385"/>
      <c r="N74" s="385"/>
      <c r="O74" s="385"/>
      <c r="P74" s="429"/>
      <c r="Q74" s="429"/>
      <c r="R74" s="429"/>
      <c r="S74" s="385"/>
    </row>
    <row r="75" spans="1:19" ht="15">
      <c r="B75" s="385"/>
      <c r="C75" s="385"/>
      <c r="D75" s="385"/>
      <c r="E75" s="385"/>
      <c r="F75" s="385"/>
      <c r="G75" s="385"/>
      <c r="H75" s="433"/>
      <c r="I75" s="433"/>
      <c r="J75" s="433"/>
      <c r="K75" s="385"/>
      <c r="L75" s="385"/>
      <c r="M75" s="385"/>
      <c r="N75" s="385"/>
      <c r="O75" s="385"/>
      <c r="P75" s="429"/>
      <c r="Q75" s="429"/>
      <c r="R75" s="429"/>
      <c r="S75" s="385"/>
    </row>
    <row r="76" spans="1:19" ht="15">
      <c r="A76" s="380"/>
      <c r="H76" s="481"/>
      <c r="I76" s="481"/>
      <c r="J76" s="481"/>
      <c r="P76" s="429"/>
      <c r="Q76" s="429"/>
      <c r="R76" s="429"/>
    </row>
    <row r="77" spans="1:19" ht="15.75">
      <c r="A77" s="423" t="str">
        <f>A1</f>
        <v>Atmos Energy Corporation</v>
      </c>
      <c r="C77" s="423"/>
      <c r="D77" s="385"/>
      <c r="E77" s="385"/>
      <c r="F77" s="385"/>
      <c r="G77" s="385"/>
      <c r="H77" s="706"/>
      <c r="I77" s="706"/>
      <c r="J77" s="433"/>
      <c r="K77" s="385"/>
      <c r="L77" s="492"/>
      <c r="M77" s="492"/>
      <c r="N77" s="385" t="s">
        <v>485</v>
      </c>
      <c r="O77" s="385"/>
      <c r="P77" s="429"/>
      <c r="Q77" s="429"/>
      <c r="R77" s="429"/>
      <c r="S77" s="385"/>
    </row>
    <row r="78" spans="1:19" ht="15">
      <c r="A78" s="420" t="s">
        <v>564</v>
      </c>
      <c r="C78" s="420"/>
      <c r="D78" s="385"/>
      <c r="E78" s="385"/>
      <c r="F78" s="385"/>
      <c r="G78" s="385"/>
      <c r="H78" s="706"/>
      <c r="I78" s="433"/>
      <c r="J78" s="433"/>
      <c r="K78" s="385"/>
      <c r="L78" s="492"/>
      <c r="M78" s="385"/>
      <c r="N78" s="385" t="s">
        <v>563</v>
      </c>
      <c r="O78" s="385"/>
      <c r="P78" s="429"/>
      <c r="Q78" s="429"/>
      <c r="R78" s="429"/>
      <c r="S78" s="385"/>
    </row>
    <row r="79" spans="1:19" ht="15">
      <c r="A79" s="420" t="s">
        <v>562</v>
      </c>
      <c r="C79" s="420"/>
      <c r="D79" s="385"/>
      <c r="E79" s="385"/>
      <c r="F79" s="385"/>
      <c r="G79" s="385"/>
      <c r="H79" s="385"/>
      <c r="I79" s="385"/>
      <c r="J79" s="385"/>
      <c r="K79" s="385"/>
      <c r="L79" s="385"/>
      <c r="M79" s="385"/>
      <c r="N79" s="385"/>
      <c r="O79" s="385"/>
      <c r="P79" s="429"/>
      <c r="Q79" s="429"/>
      <c r="R79" s="429"/>
      <c r="S79" s="385"/>
    </row>
    <row r="80" spans="1:19" ht="15">
      <c r="B80" s="385"/>
      <c r="C80" s="385"/>
      <c r="D80" s="385"/>
      <c r="E80" s="385"/>
      <c r="F80" s="385"/>
      <c r="G80" s="385"/>
      <c r="H80" s="385"/>
      <c r="I80" s="385"/>
      <c r="J80" s="385"/>
      <c r="K80" s="385"/>
      <c r="L80" s="385"/>
      <c r="M80" s="385"/>
      <c r="N80" s="385"/>
      <c r="O80" s="385"/>
      <c r="P80" s="429"/>
      <c r="Q80" s="429"/>
      <c r="R80" s="429"/>
      <c r="S80" s="385"/>
    </row>
    <row r="81" spans="1:20" ht="15">
      <c r="B81" s="385"/>
      <c r="C81" s="385"/>
      <c r="D81" s="491" t="str">
        <f>TEXT(EffectiveDate-180,"Mmmm, yyyy")</f>
        <v>May, 2015</v>
      </c>
      <c r="E81" s="449"/>
      <c r="F81" s="449"/>
      <c r="G81" s="490"/>
      <c r="H81" s="491" t="str">
        <f>TEXT(EffectiveDate-150,"Mmmm, yyyy")</f>
        <v>June, 2015</v>
      </c>
      <c r="I81" s="449"/>
      <c r="J81" s="449"/>
      <c r="K81" s="490"/>
      <c r="L81" s="491" t="str">
        <f>TEXT(EffectiveDate-120,"Mmmm, yyyy")</f>
        <v>July, 2015</v>
      </c>
      <c r="M81" s="449"/>
      <c r="N81" s="449"/>
      <c r="O81" s="490"/>
      <c r="P81" s="429"/>
      <c r="Q81" s="429"/>
      <c r="R81" s="429"/>
      <c r="S81" s="385"/>
      <c r="T81" s="385"/>
    </row>
    <row r="82" spans="1:20" ht="15">
      <c r="B82" s="420" t="s">
        <v>41</v>
      </c>
      <c r="C82" s="381"/>
      <c r="D82" s="381" t="s">
        <v>416</v>
      </c>
      <c r="E82" s="381"/>
      <c r="F82" s="381" t="s">
        <v>451</v>
      </c>
      <c r="G82" s="381"/>
      <c r="H82" s="381" t="s">
        <v>416</v>
      </c>
      <c r="I82" s="381"/>
      <c r="J82" s="381" t="s">
        <v>451</v>
      </c>
      <c r="K82" s="381"/>
      <c r="L82" s="381" t="s">
        <v>416</v>
      </c>
      <c r="M82" s="381"/>
      <c r="N82" s="381" t="s">
        <v>451</v>
      </c>
      <c r="O82" s="381"/>
      <c r="P82" s="429"/>
      <c r="Q82" s="429"/>
      <c r="R82" s="429"/>
      <c r="S82" s="385"/>
    </row>
    <row r="83" spans="1:20" ht="15">
      <c r="B83" s="381"/>
      <c r="C83" s="381"/>
      <c r="D83" s="381"/>
      <c r="E83" s="381"/>
      <c r="F83" s="381"/>
      <c r="G83" s="381"/>
      <c r="H83" s="381"/>
      <c r="I83" s="381"/>
      <c r="J83" s="381"/>
      <c r="K83" s="381"/>
      <c r="L83" s="381"/>
      <c r="M83" s="381"/>
      <c r="N83" s="381"/>
      <c r="O83" s="381"/>
      <c r="P83" s="429"/>
      <c r="Q83" s="429"/>
      <c r="R83" s="429"/>
      <c r="S83" s="385"/>
    </row>
    <row r="84" spans="1:20" ht="15.75">
      <c r="A84" s="434">
        <v>1</v>
      </c>
      <c r="B84" s="383" t="s">
        <v>561</v>
      </c>
      <c r="C84" s="385"/>
      <c r="D84" s="385"/>
      <c r="E84" s="385"/>
      <c r="F84" s="385"/>
      <c r="G84" s="385"/>
      <c r="H84" s="385"/>
      <c r="I84" s="385"/>
      <c r="J84" s="385"/>
      <c r="K84" s="385"/>
      <c r="L84" s="385"/>
      <c r="M84" s="385"/>
      <c r="N84" s="385"/>
      <c r="O84" s="385"/>
      <c r="P84" s="429"/>
      <c r="Q84" s="429"/>
      <c r="R84" s="429"/>
      <c r="S84" s="385"/>
      <c r="T84" s="385"/>
    </row>
    <row r="85" spans="1:20" ht="15">
      <c r="A85" s="434">
        <v>2</v>
      </c>
      <c r="C85" s="385" t="str">
        <f t="shared" ref="C85:C96" si="0">+C10</f>
        <v>LG&amp;E Natural</v>
      </c>
      <c r="D85" s="392"/>
      <c r="E85" s="471"/>
      <c r="F85" s="403"/>
      <c r="G85" s="403"/>
      <c r="H85" s="392"/>
      <c r="I85" s="471"/>
      <c r="J85" s="403"/>
      <c r="K85" s="403"/>
      <c r="L85" s="392"/>
      <c r="M85" s="471"/>
      <c r="N85" s="403"/>
      <c r="O85" s="403"/>
      <c r="P85" s="429"/>
      <c r="Q85" s="429"/>
      <c r="R85" s="429"/>
      <c r="S85" s="385"/>
      <c r="T85" s="385"/>
    </row>
    <row r="86" spans="1:20" ht="15">
      <c r="A86" s="434">
        <v>3</v>
      </c>
      <c r="C86" s="385" t="str">
        <f t="shared" si="0"/>
        <v>Texaco Gas Marketing</v>
      </c>
      <c r="D86" s="392"/>
      <c r="E86" s="471"/>
      <c r="F86" s="403"/>
      <c r="G86" s="403"/>
      <c r="H86" s="392"/>
      <c r="I86" s="471"/>
      <c r="J86" s="403"/>
      <c r="K86" s="403"/>
      <c r="L86" s="392"/>
      <c r="M86" s="471"/>
      <c r="N86" s="403"/>
      <c r="O86" s="403"/>
      <c r="P86" s="429"/>
      <c r="Q86" s="429"/>
      <c r="R86" s="429"/>
      <c r="S86" s="385"/>
      <c r="T86" s="385"/>
    </row>
    <row r="87" spans="1:20" ht="15">
      <c r="A87" s="434">
        <v>4</v>
      </c>
      <c r="C87" s="385" t="str">
        <f t="shared" si="0"/>
        <v>CMS</v>
      </c>
      <c r="D87" s="392"/>
      <c r="E87" s="471"/>
      <c r="F87" s="403"/>
      <c r="G87" s="403"/>
      <c r="H87" s="392"/>
      <c r="I87" s="471"/>
      <c r="J87" s="403"/>
      <c r="K87" s="403"/>
      <c r="L87" s="392"/>
      <c r="M87" s="471"/>
      <c r="N87" s="403"/>
      <c r="O87" s="403"/>
      <c r="P87" s="429"/>
      <c r="Q87" s="429"/>
      <c r="R87" s="429"/>
      <c r="S87" s="385"/>
      <c r="T87" s="385"/>
    </row>
    <row r="88" spans="1:20" ht="15">
      <c r="A88" s="434">
        <v>5</v>
      </c>
      <c r="C88" s="385" t="str">
        <f t="shared" si="0"/>
        <v>WESCO</v>
      </c>
      <c r="D88" s="392"/>
      <c r="E88" s="471"/>
      <c r="F88" s="403"/>
      <c r="G88" s="403"/>
      <c r="H88" s="392"/>
      <c r="I88" s="471"/>
      <c r="J88" s="403"/>
      <c r="K88" s="403"/>
      <c r="L88" s="392"/>
      <c r="M88" s="471"/>
      <c r="N88" s="403"/>
      <c r="O88" s="403"/>
      <c r="P88" s="429"/>
      <c r="Q88" s="429"/>
      <c r="R88" s="429"/>
      <c r="S88" s="385"/>
      <c r="T88" s="385"/>
    </row>
    <row r="89" spans="1:20" ht="15">
      <c r="A89" s="434">
        <v>6</v>
      </c>
      <c r="C89" s="385" t="str">
        <f t="shared" si="0"/>
        <v>Southern Energy Company</v>
      </c>
      <c r="D89" s="392"/>
      <c r="E89" s="471"/>
      <c r="F89" s="403"/>
      <c r="G89" s="403"/>
      <c r="H89" s="392"/>
      <c r="I89" s="471"/>
      <c r="J89" s="403"/>
      <c r="K89" s="403"/>
      <c r="L89" s="392"/>
      <c r="M89" s="471"/>
      <c r="N89" s="403"/>
      <c r="O89" s="403"/>
      <c r="P89" s="429"/>
      <c r="Q89" s="429"/>
      <c r="R89" s="429"/>
      <c r="S89" s="385"/>
      <c r="T89" s="385"/>
    </row>
    <row r="90" spans="1:20" ht="15">
      <c r="A90" s="434">
        <v>7</v>
      </c>
      <c r="C90" s="385" t="str">
        <f t="shared" si="0"/>
        <v>Union Pacific Fuels</v>
      </c>
      <c r="D90" s="392"/>
      <c r="E90" s="471"/>
      <c r="F90" s="403"/>
      <c r="G90" s="403"/>
      <c r="H90" s="392"/>
      <c r="I90" s="471"/>
      <c r="J90" s="403"/>
      <c r="K90" s="403"/>
      <c r="L90" s="392"/>
      <c r="M90" s="471"/>
      <c r="N90" s="403"/>
      <c r="O90" s="403"/>
      <c r="P90" s="429"/>
      <c r="Q90" s="429"/>
      <c r="R90" s="429"/>
      <c r="S90" s="385"/>
      <c r="T90" s="385"/>
    </row>
    <row r="91" spans="1:20" ht="15">
      <c r="A91" s="434">
        <v>8</v>
      </c>
      <c r="C91" s="385" t="str">
        <f t="shared" si="0"/>
        <v>Atmos Energy Marketing, LLC</v>
      </c>
      <c r="D91" s="392"/>
      <c r="E91" s="471"/>
      <c r="F91" s="403"/>
      <c r="G91" s="403"/>
      <c r="H91" s="392"/>
      <c r="I91" s="471"/>
      <c r="J91" s="403"/>
      <c r="K91" s="403"/>
      <c r="L91" s="392"/>
      <c r="M91" s="471"/>
      <c r="N91" s="403"/>
      <c r="O91" s="403"/>
      <c r="P91" s="429"/>
      <c r="Q91" s="429"/>
      <c r="R91" s="429"/>
      <c r="S91" s="385"/>
      <c r="T91" s="385"/>
    </row>
    <row r="92" spans="1:20" ht="15">
      <c r="A92" s="434">
        <v>9</v>
      </c>
      <c r="C92" s="385" t="str">
        <f t="shared" si="0"/>
        <v>Engage</v>
      </c>
      <c r="D92" s="392"/>
      <c r="E92" s="471"/>
      <c r="F92" s="403"/>
      <c r="G92" s="403"/>
      <c r="H92" s="392"/>
      <c r="I92" s="471"/>
      <c r="J92" s="403"/>
      <c r="K92" s="403"/>
      <c r="L92" s="392"/>
      <c r="M92" s="471"/>
      <c r="N92" s="403"/>
      <c r="O92" s="403"/>
      <c r="P92" s="429"/>
      <c r="Q92" s="429"/>
      <c r="R92" s="429"/>
      <c r="S92" s="385"/>
      <c r="T92" s="385"/>
    </row>
    <row r="93" spans="1:20" ht="15">
      <c r="A93" s="434">
        <v>10</v>
      </c>
      <c r="C93" s="385" t="str">
        <f t="shared" si="0"/>
        <v>ERI</v>
      </c>
      <c r="D93" s="392"/>
      <c r="E93" s="471"/>
      <c r="F93" s="403"/>
      <c r="G93" s="403"/>
      <c r="H93" s="392"/>
      <c r="I93" s="471"/>
      <c r="J93" s="403"/>
      <c r="K93" s="403"/>
      <c r="L93" s="392"/>
      <c r="M93" s="471"/>
      <c r="N93" s="403"/>
      <c r="O93" s="403"/>
      <c r="P93" s="429"/>
      <c r="Q93" s="429"/>
      <c r="R93" s="429"/>
      <c r="S93" s="385"/>
      <c r="T93" s="385"/>
    </row>
    <row r="94" spans="1:20" ht="15">
      <c r="A94" s="434">
        <v>11</v>
      </c>
      <c r="C94" s="385" t="str">
        <f t="shared" si="0"/>
        <v>Prepaid</v>
      </c>
      <c r="D94" s="392"/>
      <c r="E94" s="385"/>
      <c r="F94" s="403"/>
      <c r="G94" s="403"/>
      <c r="H94" s="392"/>
      <c r="I94" s="385"/>
      <c r="J94" s="403"/>
      <c r="K94" s="403"/>
      <c r="L94" s="392"/>
      <c r="M94" s="385"/>
      <c r="N94" s="403"/>
      <c r="O94" s="403"/>
      <c r="P94" s="429"/>
      <c r="Q94" s="429"/>
      <c r="R94" s="429"/>
      <c r="S94" s="385"/>
      <c r="T94" s="385"/>
    </row>
    <row r="95" spans="1:20" ht="15">
      <c r="A95" s="434">
        <v>12</v>
      </c>
      <c r="C95" s="385" t="str">
        <f t="shared" si="0"/>
        <v>Reservation</v>
      </c>
      <c r="D95" s="392"/>
      <c r="E95" s="385"/>
      <c r="F95" s="403"/>
      <c r="G95" s="403"/>
      <c r="H95" s="392"/>
      <c r="I95" s="385"/>
      <c r="J95" s="403"/>
      <c r="K95" s="403"/>
      <c r="L95" s="392"/>
      <c r="M95" s="385"/>
      <c r="N95" s="403"/>
      <c r="O95" s="403"/>
      <c r="P95" s="429"/>
      <c r="Q95" s="429"/>
      <c r="R95" s="429"/>
      <c r="S95" s="385"/>
      <c r="T95" s="385"/>
    </row>
    <row r="96" spans="1:20" ht="15">
      <c r="A96" s="434">
        <v>13</v>
      </c>
      <c r="C96" s="385" t="str">
        <f t="shared" si="0"/>
        <v>Hedging Costs - All Zones</v>
      </c>
      <c r="D96" s="489"/>
      <c r="E96" s="385"/>
      <c r="F96" s="446"/>
      <c r="G96" s="390"/>
      <c r="H96" s="489"/>
      <c r="I96" s="385"/>
      <c r="J96" s="446"/>
      <c r="K96" s="390"/>
      <c r="L96" s="489"/>
      <c r="M96" s="385"/>
      <c r="N96" s="446"/>
      <c r="O96" s="390"/>
      <c r="P96" s="429"/>
      <c r="Q96" s="429"/>
      <c r="R96" s="429"/>
      <c r="S96" s="385"/>
      <c r="T96" s="385"/>
    </row>
    <row r="97" spans="1:20" ht="15">
      <c r="A97" s="434">
        <v>14</v>
      </c>
      <c r="B97" s="385"/>
      <c r="C97" s="385"/>
      <c r="D97" s="392"/>
      <c r="E97" s="471"/>
      <c r="F97" s="403"/>
      <c r="G97" s="403"/>
      <c r="H97" s="392"/>
      <c r="I97" s="471"/>
      <c r="J97" s="403"/>
      <c r="K97" s="403"/>
      <c r="L97" s="392"/>
      <c r="M97" s="471"/>
      <c r="N97" s="403"/>
      <c r="O97" s="403"/>
      <c r="P97" s="429"/>
      <c r="Q97" s="429"/>
      <c r="R97" s="429"/>
      <c r="S97" s="385"/>
      <c r="T97" s="385"/>
    </row>
    <row r="98" spans="1:20" ht="15.75">
      <c r="A98" s="434">
        <v>15</v>
      </c>
      <c r="B98" s="383" t="s">
        <v>560</v>
      </c>
      <c r="C98" s="385"/>
      <c r="D98" s="392">
        <f>D23</f>
        <v>1479495</v>
      </c>
      <c r="E98" s="385"/>
      <c r="F98" s="405">
        <f>F23</f>
        <v>3494864.68</v>
      </c>
      <c r="G98" s="405"/>
      <c r="H98" s="392">
        <f>H23</f>
        <v>1592759</v>
      </c>
      <c r="I98" s="385"/>
      <c r="J98" s="405">
        <f>J23</f>
        <v>4187610.08</v>
      </c>
      <c r="K98" s="405"/>
      <c r="L98" s="392">
        <f>L23</f>
        <v>1346544</v>
      </c>
      <c r="M98" s="385"/>
      <c r="N98" s="405">
        <f>N23</f>
        <v>3547046.92</v>
      </c>
      <c r="O98" s="405"/>
      <c r="P98" s="429"/>
      <c r="Q98" s="429"/>
      <c r="R98" s="429"/>
      <c r="S98" s="385"/>
      <c r="T98" s="385"/>
    </row>
    <row r="99" spans="1:20" ht="15.75">
      <c r="A99" s="434">
        <v>16</v>
      </c>
      <c r="B99" s="383"/>
      <c r="C99" s="385"/>
      <c r="D99" s="392"/>
      <c r="E99" s="392"/>
      <c r="F99" s="392"/>
      <c r="G99" s="392"/>
      <c r="H99" s="392"/>
      <c r="I99" s="392"/>
      <c r="J99" s="392"/>
      <c r="K99" s="392"/>
      <c r="L99" s="392"/>
      <c r="M99" s="392"/>
      <c r="N99" s="392"/>
      <c r="O99" s="392"/>
      <c r="P99" s="429"/>
      <c r="Q99" s="429"/>
      <c r="R99" s="429"/>
      <c r="S99" s="385"/>
      <c r="T99" s="385"/>
    </row>
    <row r="100" spans="1:20" ht="15">
      <c r="A100" s="434">
        <v>17</v>
      </c>
      <c r="B100" s="385"/>
      <c r="C100" s="385"/>
      <c r="D100" s="392"/>
      <c r="E100" s="385"/>
      <c r="F100" s="403"/>
      <c r="G100" s="403"/>
      <c r="H100" s="392"/>
      <c r="I100" s="385"/>
      <c r="J100" s="403"/>
      <c r="K100" s="385"/>
      <c r="L100" s="392"/>
      <c r="M100" s="385"/>
      <c r="N100" s="403"/>
      <c r="O100" s="385"/>
      <c r="P100" s="429"/>
      <c r="Q100" s="429"/>
      <c r="R100" s="429"/>
      <c r="S100" s="385"/>
      <c r="T100" s="385"/>
    </row>
    <row r="101" spans="1:20" ht="15.75">
      <c r="A101" s="434">
        <v>18</v>
      </c>
      <c r="B101" s="383" t="s">
        <v>559</v>
      </c>
      <c r="C101" s="385"/>
      <c r="D101" s="385"/>
      <c r="E101" s="385"/>
      <c r="F101" s="385"/>
      <c r="G101" s="385"/>
      <c r="H101" s="385"/>
      <c r="I101" s="385"/>
      <c r="J101" s="385"/>
      <c r="K101" s="385"/>
      <c r="L101" s="385"/>
      <c r="M101" s="385"/>
      <c r="N101" s="385"/>
      <c r="O101" s="385"/>
      <c r="P101" s="429"/>
      <c r="Q101" s="429"/>
      <c r="R101" s="429"/>
      <c r="S101" s="385"/>
      <c r="T101" s="385"/>
    </row>
    <row r="102" spans="1:20" ht="15">
      <c r="A102" s="434">
        <v>19</v>
      </c>
      <c r="C102" s="385" t="str">
        <f t="shared" ref="C102:C107" si="1">+C27</f>
        <v>Chevron Natural Gas, Inc.</v>
      </c>
      <c r="D102" s="392"/>
      <c r="E102" s="471"/>
      <c r="F102" s="403"/>
      <c r="G102" s="403"/>
      <c r="H102" s="392"/>
      <c r="I102" s="471"/>
      <c r="J102" s="403"/>
      <c r="K102" s="403"/>
      <c r="L102" s="392"/>
      <c r="M102" s="471"/>
      <c r="N102" s="403"/>
      <c r="O102" s="403"/>
      <c r="P102" s="429"/>
      <c r="Q102" s="429"/>
      <c r="R102" s="429"/>
      <c r="S102" s="385"/>
      <c r="T102" s="385"/>
    </row>
    <row r="103" spans="1:20" ht="15">
      <c r="A103" s="434">
        <v>20</v>
      </c>
      <c r="C103" s="385" t="str">
        <f t="shared" si="1"/>
        <v>Atmos Energy Marketing, LLC</v>
      </c>
      <c r="D103" s="392"/>
      <c r="E103" s="471"/>
      <c r="F103" s="403"/>
      <c r="G103" s="385"/>
      <c r="H103" s="392"/>
      <c r="I103" s="471"/>
      <c r="J103" s="403"/>
      <c r="K103" s="385"/>
      <c r="L103" s="392"/>
      <c r="M103" s="471"/>
      <c r="N103" s="403"/>
      <c r="O103" s="385"/>
      <c r="P103" s="429"/>
      <c r="Q103" s="429"/>
      <c r="R103" s="429"/>
      <c r="S103" s="385"/>
      <c r="T103" s="385"/>
    </row>
    <row r="104" spans="1:20" ht="15">
      <c r="A104" s="434">
        <v>21</v>
      </c>
      <c r="C104" s="385" t="str">
        <f t="shared" si="1"/>
        <v>WESCO</v>
      </c>
      <c r="D104" s="392"/>
      <c r="E104" s="471"/>
      <c r="F104" s="403"/>
      <c r="G104" s="403"/>
      <c r="H104" s="392"/>
      <c r="I104" s="471"/>
      <c r="J104" s="403"/>
      <c r="K104" s="403"/>
      <c r="L104" s="392"/>
      <c r="M104" s="471"/>
      <c r="N104" s="403"/>
      <c r="O104" s="403"/>
      <c r="P104" s="429"/>
      <c r="Q104" s="429"/>
      <c r="R104" s="429"/>
      <c r="S104" s="385"/>
      <c r="T104" s="385"/>
    </row>
    <row r="105" spans="1:20" ht="15">
      <c r="A105" s="434">
        <v>22</v>
      </c>
      <c r="C105" s="385" t="str">
        <f t="shared" si="1"/>
        <v>Prepaid</v>
      </c>
      <c r="D105" s="392"/>
      <c r="E105" s="471"/>
      <c r="F105" s="403"/>
      <c r="G105" s="403"/>
      <c r="H105" s="392"/>
      <c r="I105" s="471"/>
      <c r="J105" s="403"/>
      <c r="K105" s="403"/>
      <c r="L105" s="392"/>
      <c r="M105" s="471"/>
      <c r="N105" s="403"/>
      <c r="O105" s="403"/>
      <c r="P105" s="429"/>
      <c r="Q105" s="429"/>
      <c r="R105" s="429"/>
      <c r="S105" s="385"/>
      <c r="T105" s="385"/>
    </row>
    <row r="106" spans="1:20" ht="15">
      <c r="A106" s="434">
        <v>23</v>
      </c>
      <c r="C106" s="385" t="str">
        <f t="shared" si="1"/>
        <v>Reservation</v>
      </c>
      <c r="D106" s="385"/>
      <c r="E106" s="385"/>
      <c r="F106" s="403"/>
      <c r="G106" s="403"/>
      <c r="H106" s="385"/>
      <c r="I106" s="385"/>
      <c r="J106" s="403"/>
      <c r="K106" s="403"/>
      <c r="L106" s="385"/>
      <c r="M106" s="385"/>
      <c r="N106" s="403"/>
      <c r="O106" s="403"/>
      <c r="P106" s="429"/>
      <c r="Q106" s="429"/>
      <c r="R106" s="429"/>
      <c r="S106" s="385"/>
      <c r="T106" s="385"/>
    </row>
    <row r="107" spans="1:20" ht="15">
      <c r="A107" s="434">
        <v>24</v>
      </c>
      <c r="C107" s="385" t="str">
        <f t="shared" si="1"/>
        <v>Fuel Adjustment</v>
      </c>
      <c r="D107" s="489"/>
      <c r="E107" s="385"/>
      <c r="F107" s="446"/>
      <c r="G107" s="385"/>
      <c r="H107" s="489"/>
      <c r="I107" s="385"/>
      <c r="J107" s="446"/>
      <c r="K107" s="385"/>
      <c r="L107" s="489"/>
      <c r="M107" s="385"/>
      <c r="N107" s="446"/>
      <c r="O107" s="385"/>
      <c r="P107" s="429"/>
      <c r="Q107" s="429"/>
      <c r="R107" s="429"/>
      <c r="S107" s="385"/>
      <c r="T107" s="385"/>
    </row>
    <row r="108" spans="1:20" ht="15">
      <c r="A108" s="434">
        <v>25</v>
      </c>
      <c r="B108" s="385"/>
      <c r="C108" s="385"/>
      <c r="D108" s="392"/>
      <c r="E108" s="471"/>
      <c r="F108" s="403"/>
      <c r="G108" s="403"/>
      <c r="H108" s="392"/>
      <c r="I108" s="471"/>
      <c r="J108" s="403"/>
      <c r="K108" s="403"/>
      <c r="L108" s="392"/>
      <c r="M108" s="471"/>
      <c r="N108" s="403"/>
      <c r="O108" s="403"/>
      <c r="P108" s="429"/>
      <c r="Q108" s="429"/>
      <c r="R108" s="429"/>
      <c r="S108" s="385"/>
      <c r="T108" s="385"/>
    </row>
    <row r="109" spans="1:20" ht="15.75">
      <c r="A109" s="434">
        <v>26</v>
      </c>
      <c r="B109" s="383" t="s">
        <v>245</v>
      </c>
      <c r="C109" s="385"/>
      <c r="D109" s="392">
        <f>D34</f>
        <v>231842</v>
      </c>
      <c r="E109" s="385"/>
      <c r="F109" s="405">
        <f>F34</f>
        <v>628394.06999999995</v>
      </c>
      <c r="G109" s="392"/>
      <c r="H109" s="392">
        <f>H34</f>
        <v>199952</v>
      </c>
      <c r="I109" s="385"/>
      <c r="J109" s="405">
        <f>J34</f>
        <v>603749.09</v>
      </c>
      <c r="K109" s="405"/>
      <c r="L109" s="392">
        <f>L34</f>
        <v>208204</v>
      </c>
      <c r="M109" s="385"/>
      <c r="N109" s="405">
        <f>N34</f>
        <v>619279.75</v>
      </c>
      <c r="O109" s="405"/>
      <c r="P109" s="429"/>
      <c r="Q109" s="429"/>
      <c r="R109" s="429"/>
      <c r="S109" s="385"/>
    </row>
    <row r="110" spans="1:20" ht="15.75">
      <c r="A110" s="434">
        <v>27</v>
      </c>
      <c r="B110" s="383"/>
      <c r="C110" s="385"/>
      <c r="D110" s="392"/>
      <c r="E110" s="385"/>
      <c r="F110" s="385"/>
      <c r="G110" s="385"/>
      <c r="H110" s="392"/>
      <c r="I110" s="385"/>
      <c r="J110" s="385"/>
      <c r="K110" s="385"/>
      <c r="L110" s="392"/>
      <c r="M110" s="385"/>
      <c r="N110" s="385"/>
      <c r="O110" s="385"/>
      <c r="P110" s="429"/>
      <c r="Q110" s="429"/>
      <c r="R110" s="429"/>
      <c r="S110" s="385"/>
    </row>
    <row r="111" spans="1:20" ht="15.75">
      <c r="A111" s="434">
        <v>28</v>
      </c>
      <c r="B111" s="383"/>
      <c r="C111" s="385"/>
      <c r="D111" s="403"/>
      <c r="E111" s="403"/>
      <c r="F111" s="385"/>
      <c r="G111" s="385"/>
      <c r="H111" s="403"/>
      <c r="I111" s="403"/>
      <c r="J111" s="385"/>
      <c r="K111" s="385"/>
      <c r="L111" s="403"/>
      <c r="M111" s="403"/>
      <c r="N111" s="385"/>
      <c r="O111" s="385"/>
      <c r="P111" s="429"/>
      <c r="Q111" s="429"/>
      <c r="R111" s="429"/>
      <c r="S111" s="385"/>
    </row>
    <row r="112" spans="1:20" ht="15.75">
      <c r="A112" s="434">
        <v>29</v>
      </c>
      <c r="B112" s="383" t="s">
        <v>360</v>
      </c>
      <c r="C112" s="385"/>
      <c r="D112" s="385"/>
      <c r="E112" s="385"/>
      <c r="F112" s="385"/>
      <c r="G112" s="385"/>
      <c r="H112" s="385"/>
      <c r="I112" s="385"/>
      <c r="J112" s="385"/>
      <c r="K112" s="385"/>
      <c r="L112" s="385"/>
      <c r="M112" s="385"/>
      <c r="N112" s="385"/>
      <c r="O112" s="385"/>
      <c r="P112" s="429"/>
      <c r="Q112" s="429"/>
      <c r="R112" s="429"/>
      <c r="S112" s="385"/>
      <c r="T112" s="385"/>
    </row>
    <row r="113" spans="1:20" ht="15">
      <c r="A113" s="434">
        <v>30</v>
      </c>
      <c r="C113" s="385" t="str">
        <f>+C38</f>
        <v>Atmos Energy Marketing, LLC</v>
      </c>
      <c r="D113" s="392"/>
      <c r="E113" s="471"/>
      <c r="F113" s="403"/>
      <c r="G113" s="403"/>
      <c r="H113" s="392"/>
      <c r="I113" s="471"/>
      <c r="J113" s="403"/>
      <c r="K113" s="403"/>
      <c r="L113" s="392"/>
      <c r="M113" s="471"/>
      <c r="N113" s="403"/>
      <c r="O113" s="403"/>
      <c r="P113" s="429"/>
      <c r="Q113" s="429"/>
      <c r="R113" s="429"/>
      <c r="S113" s="385"/>
      <c r="T113" s="385"/>
    </row>
    <row r="114" spans="1:20" ht="15">
      <c r="A114" s="434">
        <v>31</v>
      </c>
      <c r="C114" s="385" t="str">
        <f>+C39</f>
        <v>Engage</v>
      </c>
      <c r="D114" s="392"/>
      <c r="E114" s="471"/>
      <c r="F114" s="403"/>
      <c r="G114" s="403"/>
      <c r="H114" s="392"/>
      <c r="I114" s="471"/>
      <c r="J114" s="403"/>
      <c r="K114" s="403"/>
      <c r="L114" s="392"/>
      <c r="M114" s="471"/>
      <c r="N114" s="403"/>
      <c r="O114" s="403"/>
      <c r="P114" s="429"/>
      <c r="Q114" s="429"/>
      <c r="R114" s="429"/>
      <c r="S114" s="385"/>
      <c r="T114" s="385"/>
    </row>
    <row r="115" spans="1:20" ht="15">
      <c r="A115" s="434">
        <v>32</v>
      </c>
      <c r="C115" s="385" t="str">
        <f>+C40</f>
        <v>Prepaid</v>
      </c>
      <c r="D115" s="392"/>
      <c r="E115" s="471"/>
      <c r="F115" s="403"/>
      <c r="G115" s="403"/>
      <c r="H115" s="392"/>
      <c r="I115" s="471"/>
      <c r="J115" s="403"/>
      <c r="K115" s="403"/>
      <c r="L115" s="392"/>
      <c r="M115" s="471"/>
      <c r="N115" s="403"/>
      <c r="O115" s="403"/>
      <c r="P115" s="429"/>
      <c r="Q115" s="429"/>
      <c r="R115" s="429"/>
      <c r="S115" s="385"/>
      <c r="T115" s="385"/>
    </row>
    <row r="116" spans="1:20" ht="15">
      <c r="A116" s="434">
        <v>33</v>
      </c>
      <c r="C116" s="385" t="str">
        <f>+C41</f>
        <v>Reservation</v>
      </c>
      <c r="D116" s="385"/>
      <c r="E116" s="385"/>
      <c r="F116" s="403"/>
      <c r="G116" s="403"/>
      <c r="H116" s="385"/>
      <c r="I116" s="385"/>
      <c r="J116" s="403"/>
      <c r="K116" s="403"/>
      <c r="L116" s="385"/>
      <c r="M116" s="385"/>
      <c r="N116" s="403"/>
      <c r="O116" s="403"/>
      <c r="P116" s="429"/>
      <c r="Q116" s="429"/>
      <c r="R116" s="429"/>
      <c r="S116" s="385"/>
      <c r="T116" s="385"/>
    </row>
    <row r="117" spans="1:20" ht="15">
      <c r="A117" s="434">
        <v>34</v>
      </c>
      <c r="C117" s="385" t="str">
        <f>+C42</f>
        <v>Fuel Adjustment</v>
      </c>
      <c r="D117" s="489"/>
      <c r="E117" s="385"/>
      <c r="F117" s="446"/>
      <c r="G117" s="385"/>
      <c r="H117" s="489"/>
      <c r="I117" s="385"/>
      <c r="J117" s="446"/>
      <c r="K117" s="385"/>
      <c r="L117" s="489"/>
      <c r="M117" s="385"/>
      <c r="N117" s="446"/>
      <c r="O117" s="385"/>
      <c r="P117" s="429"/>
      <c r="Q117" s="429"/>
      <c r="R117" s="429"/>
      <c r="S117" s="385"/>
      <c r="T117" s="385"/>
    </row>
    <row r="118" spans="1:20" ht="15">
      <c r="A118" s="434">
        <v>35</v>
      </c>
      <c r="B118" s="385"/>
      <c r="C118" s="385"/>
      <c r="D118" s="392"/>
      <c r="E118" s="471"/>
      <c r="F118" s="403"/>
      <c r="G118" s="403"/>
      <c r="H118" s="392"/>
      <c r="I118" s="471"/>
      <c r="J118" s="403"/>
      <c r="K118" s="403"/>
      <c r="L118" s="392"/>
      <c r="M118" s="471"/>
      <c r="N118" s="403"/>
      <c r="O118" s="403"/>
      <c r="P118" s="429"/>
      <c r="Q118" s="429"/>
      <c r="R118" s="429"/>
      <c r="S118" s="385"/>
      <c r="T118" s="385"/>
    </row>
    <row r="119" spans="1:20" ht="15.75">
      <c r="A119" s="434">
        <v>36</v>
      </c>
      <c r="B119" s="383" t="s">
        <v>245</v>
      </c>
      <c r="C119" s="385"/>
      <c r="D119" s="392">
        <f>D44</f>
        <v>0</v>
      </c>
      <c r="E119" s="385"/>
      <c r="F119" s="405">
        <f>F44</f>
        <v>-51.6</v>
      </c>
      <c r="G119" s="392"/>
      <c r="H119" s="392">
        <f>H44</f>
        <v>0</v>
      </c>
      <c r="I119" s="385"/>
      <c r="J119" s="405">
        <f>J44</f>
        <v>33.44</v>
      </c>
      <c r="K119" s="405"/>
      <c r="L119" s="392">
        <f>L44</f>
        <v>0</v>
      </c>
      <c r="M119" s="385"/>
      <c r="N119" s="405">
        <f>N44</f>
        <v>-24.27</v>
      </c>
      <c r="O119" s="405"/>
      <c r="P119" s="429"/>
      <c r="Q119" s="429"/>
      <c r="R119" s="429"/>
      <c r="S119" s="385"/>
    </row>
    <row r="120" spans="1:20" ht="15.75">
      <c r="A120" s="434">
        <v>37</v>
      </c>
      <c r="B120" s="383"/>
      <c r="C120" s="385"/>
      <c r="D120" s="392"/>
      <c r="E120" s="385"/>
      <c r="F120" s="385"/>
      <c r="G120" s="385"/>
      <c r="H120" s="392"/>
      <c r="I120" s="385"/>
      <c r="J120" s="385"/>
      <c r="K120" s="385"/>
      <c r="L120" s="392"/>
      <c r="M120" s="385"/>
      <c r="N120" s="385"/>
      <c r="O120" s="385"/>
      <c r="P120" s="429"/>
      <c r="Q120" s="429"/>
      <c r="R120" s="429"/>
      <c r="S120" s="385"/>
    </row>
    <row r="121" spans="1:20" ht="15.75">
      <c r="A121" s="434">
        <v>38</v>
      </c>
      <c r="B121" s="383"/>
      <c r="C121" s="385"/>
      <c r="D121" s="403"/>
      <c r="E121" s="403"/>
      <c r="F121" s="385"/>
      <c r="G121" s="385"/>
      <c r="H121" s="403"/>
      <c r="I121" s="403"/>
      <c r="J121" s="385"/>
      <c r="K121" s="385"/>
      <c r="L121" s="403"/>
      <c r="M121" s="403"/>
      <c r="N121" s="385"/>
      <c r="O121" s="385"/>
      <c r="P121" s="429"/>
      <c r="Q121" s="429"/>
      <c r="R121" s="429"/>
      <c r="S121" s="385"/>
    </row>
    <row r="122" spans="1:20" ht="15.75">
      <c r="A122" s="434">
        <v>39</v>
      </c>
      <c r="B122" s="383" t="s">
        <v>558</v>
      </c>
      <c r="C122" s="385"/>
      <c r="D122" s="385"/>
      <c r="E122" s="385"/>
      <c r="F122" s="385"/>
      <c r="G122" s="385"/>
      <c r="H122" s="385"/>
      <c r="I122" s="385"/>
      <c r="J122" s="385"/>
      <c r="K122" s="385"/>
      <c r="L122" s="385"/>
      <c r="M122" s="385"/>
      <c r="N122" s="385"/>
      <c r="O122" s="385"/>
      <c r="P122" s="429"/>
      <c r="Q122" s="429"/>
      <c r="R122" s="429"/>
      <c r="S122" s="385"/>
      <c r="T122" s="385"/>
    </row>
    <row r="123" spans="1:20" ht="15">
      <c r="A123" s="434">
        <v>40</v>
      </c>
      <c r="C123" s="385" t="str">
        <f t="shared" ref="C123:C128" si="2">+C48</f>
        <v>Atmos Energy Marketing, LLC</v>
      </c>
      <c r="D123" s="392"/>
      <c r="E123" s="471"/>
      <c r="F123" s="403"/>
      <c r="G123" s="403"/>
      <c r="H123" s="392"/>
      <c r="I123" s="471"/>
      <c r="J123" s="403"/>
      <c r="K123" s="403"/>
      <c r="L123" s="392"/>
      <c r="M123" s="471"/>
      <c r="N123" s="403"/>
      <c r="O123" s="403"/>
      <c r="P123" s="429"/>
      <c r="Q123" s="429"/>
      <c r="R123" s="429"/>
      <c r="S123" s="385"/>
      <c r="T123" s="385"/>
    </row>
    <row r="124" spans="1:20" ht="15">
      <c r="A124" s="434">
        <v>41</v>
      </c>
      <c r="C124" s="385" t="str">
        <f t="shared" si="2"/>
        <v>Midwestern Gas Transmission</v>
      </c>
      <c r="D124" s="392"/>
      <c r="E124" s="471"/>
      <c r="F124" s="403"/>
      <c r="G124" s="403"/>
      <c r="H124" s="392"/>
      <c r="I124" s="471"/>
      <c r="J124" s="403"/>
      <c r="K124" s="403"/>
      <c r="L124" s="392"/>
      <c r="M124" s="471"/>
      <c r="N124" s="403"/>
      <c r="O124" s="403"/>
      <c r="P124" s="429"/>
      <c r="Q124" s="429"/>
      <c r="R124" s="429"/>
      <c r="S124" s="385"/>
      <c r="T124" s="385"/>
    </row>
    <row r="125" spans="1:20" ht="15">
      <c r="A125" s="434">
        <v>42</v>
      </c>
      <c r="C125" s="385" t="str">
        <f t="shared" si="2"/>
        <v>Anadarko</v>
      </c>
      <c r="D125" s="392"/>
      <c r="E125" s="471"/>
      <c r="F125" s="403"/>
      <c r="G125" s="403"/>
      <c r="H125" s="392"/>
      <c r="I125" s="471"/>
      <c r="J125" s="403"/>
      <c r="K125" s="403"/>
      <c r="L125" s="392"/>
      <c r="M125" s="471"/>
      <c r="N125" s="403"/>
      <c r="O125" s="403"/>
      <c r="P125" s="429"/>
      <c r="Q125" s="429"/>
      <c r="R125" s="429"/>
      <c r="S125" s="385"/>
      <c r="T125" s="385"/>
    </row>
    <row r="126" spans="1:20" ht="15">
      <c r="A126" s="434">
        <v>43</v>
      </c>
      <c r="C126" s="385" t="str">
        <f t="shared" si="2"/>
        <v>Prepaid</v>
      </c>
      <c r="D126" s="392"/>
      <c r="E126" s="471"/>
      <c r="F126" s="403"/>
      <c r="G126" s="403"/>
      <c r="H126" s="392"/>
      <c r="I126" s="471"/>
      <c r="J126" s="403"/>
      <c r="K126" s="403"/>
      <c r="L126" s="392"/>
      <c r="M126" s="471"/>
      <c r="N126" s="403"/>
      <c r="O126" s="403"/>
      <c r="P126" s="429"/>
      <c r="Q126" s="429"/>
      <c r="R126" s="429"/>
      <c r="S126" s="385"/>
      <c r="T126" s="385"/>
    </row>
    <row r="127" spans="1:20" ht="15">
      <c r="A127" s="434">
        <v>44</v>
      </c>
      <c r="C127" s="385" t="str">
        <f t="shared" si="2"/>
        <v>Reservation</v>
      </c>
      <c r="D127" s="385"/>
      <c r="E127" s="385"/>
      <c r="F127" s="403"/>
      <c r="G127" s="403"/>
      <c r="H127" s="385"/>
      <c r="I127" s="385"/>
      <c r="J127" s="403"/>
      <c r="K127" s="403"/>
      <c r="L127" s="385"/>
      <c r="M127" s="385"/>
      <c r="N127" s="403"/>
      <c r="O127" s="403"/>
      <c r="P127" s="429"/>
      <c r="Q127" s="429"/>
      <c r="R127" s="429"/>
      <c r="S127" s="385"/>
      <c r="T127" s="385"/>
    </row>
    <row r="128" spans="1:20" ht="15">
      <c r="A128" s="434">
        <v>45</v>
      </c>
      <c r="C128" s="385" t="str">
        <f t="shared" si="2"/>
        <v>Fuel Adjustment</v>
      </c>
      <c r="D128" s="489"/>
      <c r="E128" s="385"/>
      <c r="F128" s="446"/>
      <c r="G128" s="385"/>
      <c r="H128" s="489"/>
      <c r="I128" s="385"/>
      <c r="J128" s="446"/>
      <c r="K128" s="385"/>
      <c r="L128" s="489"/>
      <c r="M128" s="385"/>
      <c r="N128" s="446"/>
      <c r="O128" s="385"/>
      <c r="P128" s="429"/>
      <c r="Q128" s="429"/>
      <c r="R128" s="429"/>
      <c r="S128" s="385"/>
      <c r="T128" s="385"/>
    </row>
    <row r="129" spans="1:20" ht="15">
      <c r="A129" s="434">
        <v>46</v>
      </c>
      <c r="B129" s="385"/>
      <c r="C129" s="385"/>
      <c r="D129" s="392"/>
      <c r="E129" s="471"/>
      <c r="F129" s="403"/>
      <c r="G129" s="403"/>
      <c r="H129" s="392"/>
      <c r="I129" s="471"/>
      <c r="J129" s="403"/>
      <c r="K129" s="403"/>
      <c r="L129" s="392"/>
      <c r="M129" s="471"/>
      <c r="N129" s="403"/>
      <c r="O129" s="403"/>
      <c r="P129" s="429"/>
      <c r="Q129" s="429"/>
      <c r="R129" s="429"/>
      <c r="S129" s="385"/>
      <c r="T129" s="385"/>
    </row>
    <row r="130" spans="1:20" ht="15.75">
      <c r="A130" s="434">
        <v>47</v>
      </c>
      <c r="B130" s="383" t="s">
        <v>245</v>
      </c>
      <c r="C130" s="385"/>
      <c r="D130" s="392">
        <f>D55</f>
        <v>-320</v>
      </c>
      <c r="E130" s="385"/>
      <c r="F130" s="405">
        <f>F55</f>
        <v>-976.63</v>
      </c>
      <c r="G130" s="392"/>
      <c r="H130" s="392">
        <f>H55</f>
        <v>438</v>
      </c>
      <c r="I130" s="385"/>
      <c r="J130" s="405">
        <f>J55</f>
        <v>1282.2</v>
      </c>
      <c r="K130" s="405"/>
      <c r="L130" s="392">
        <f>L55</f>
        <v>-73</v>
      </c>
      <c r="M130" s="385"/>
      <c r="N130" s="405">
        <f>N55</f>
        <v>-218.08</v>
      </c>
      <c r="O130" s="405"/>
      <c r="P130" s="429"/>
      <c r="Q130" s="429"/>
      <c r="R130" s="429"/>
      <c r="S130" s="385"/>
    </row>
    <row r="131" spans="1:20" ht="15.75">
      <c r="A131" s="434">
        <v>48</v>
      </c>
      <c r="B131" s="383"/>
      <c r="C131" s="385"/>
      <c r="D131" s="392"/>
      <c r="E131" s="385"/>
      <c r="F131" s="385"/>
      <c r="G131" s="385"/>
      <c r="H131" s="392"/>
      <c r="I131" s="385"/>
      <c r="J131" s="385"/>
      <c r="K131" s="385"/>
      <c r="L131" s="392"/>
      <c r="M131" s="385"/>
      <c r="N131" s="385"/>
      <c r="O131" s="385"/>
      <c r="P131" s="429"/>
      <c r="Q131" s="429"/>
      <c r="R131" s="429"/>
      <c r="S131" s="385"/>
    </row>
    <row r="132" spans="1:20" ht="15.75">
      <c r="A132" s="434">
        <v>49</v>
      </c>
      <c r="B132" s="383"/>
      <c r="C132" s="385"/>
      <c r="D132" s="403"/>
      <c r="E132" s="403"/>
      <c r="F132" s="385"/>
      <c r="G132" s="385"/>
      <c r="H132" s="403"/>
      <c r="I132" s="403"/>
      <c r="J132" s="385"/>
      <c r="K132" s="385"/>
      <c r="L132" s="403"/>
      <c r="M132" s="403"/>
      <c r="N132" s="385"/>
      <c r="O132" s="385"/>
      <c r="P132" s="429"/>
      <c r="Q132" s="429"/>
      <c r="R132" s="429"/>
      <c r="S132" s="385"/>
    </row>
    <row r="133" spans="1:20" ht="15.75">
      <c r="A133" s="434">
        <v>50</v>
      </c>
      <c r="B133" s="383" t="s">
        <v>557</v>
      </c>
      <c r="C133" s="385"/>
      <c r="D133" s="403"/>
      <c r="E133" s="403"/>
      <c r="F133" s="385"/>
      <c r="G133" s="385"/>
      <c r="H133" s="403"/>
      <c r="I133" s="403"/>
      <c r="J133" s="385"/>
      <c r="K133" s="385"/>
      <c r="L133" s="403"/>
      <c r="M133" s="403"/>
      <c r="N133" s="385"/>
      <c r="O133" s="385"/>
      <c r="P133" s="429"/>
      <c r="Q133" s="429"/>
      <c r="R133" s="429"/>
      <c r="S133" s="385"/>
    </row>
    <row r="134" spans="1:20" ht="15">
      <c r="A134" s="434">
        <v>51</v>
      </c>
      <c r="C134" s="385" t="s">
        <v>556</v>
      </c>
      <c r="D134" s="403"/>
      <c r="E134" s="403"/>
      <c r="F134" s="385"/>
      <c r="G134" s="385"/>
      <c r="H134" s="403"/>
      <c r="I134" s="403"/>
      <c r="J134" s="385"/>
      <c r="K134" s="385"/>
      <c r="L134" s="403"/>
      <c r="M134" s="403"/>
      <c r="N134" s="385"/>
      <c r="O134" s="385"/>
      <c r="P134" s="429"/>
      <c r="Q134" s="429"/>
      <c r="R134" s="429"/>
      <c r="S134" s="385"/>
    </row>
    <row r="135" spans="1:20" ht="15.75">
      <c r="A135" s="434">
        <v>52</v>
      </c>
      <c r="B135" s="383"/>
      <c r="C135" s="385" t="s">
        <v>555</v>
      </c>
      <c r="D135" s="403"/>
      <c r="E135" s="403"/>
      <c r="F135" s="385"/>
      <c r="G135" s="385"/>
      <c r="H135" s="403"/>
      <c r="I135" s="403"/>
      <c r="J135" s="385"/>
      <c r="K135" s="385"/>
      <c r="L135" s="403"/>
      <c r="M135" s="403"/>
      <c r="N135" s="385"/>
      <c r="O135" s="385"/>
      <c r="P135" s="429"/>
      <c r="Q135" s="429"/>
      <c r="R135" s="429"/>
      <c r="S135" s="385"/>
    </row>
    <row r="136" spans="1:20" ht="15.75">
      <c r="A136" s="434">
        <v>53</v>
      </c>
      <c r="B136" s="383"/>
      <c r="C136" s="385" t="s">
        <v>554</v>
      </c>
      <c r="D136" s="403"/>
      <c r="E136" s="403"/>
      <c r="F136" s="385"/>
      <c r="G136" s="385"/>
      <c r="H136" s="403"/>
      <c r="I136" s="403"/>
      <c r="J136" s="385"/>
      <c r="K136" s="385"/>
      <c r="L136" s="403"/>
      <c r="M136" s="403"/>
      <c r="N136" s="385"/>
      <c r="O136" s="385"/>
      <c r="P136" s="429"/>
      <c r="Q136" s="429"/>
      <c r="R136" s="429"/>
      <c r="S136" s="385"/>
    </row>
    <row r="137" spans="1:20" ht="15.75">
      <c r="A137" s="434">
        <v>54</v>
      </c>
      <c r="B137" s="383"/>
      <c r="C137" s="385" t="s">
        <v>553</v>
      </c>
      <c r="D137" s="403"/>
      <c r="E137" s="403"/>
      <c r="F137" s="385"/>
      <c r="G137" s="385"/>
      <c r="H137" s="403"/>
      <c r="I137" s="403"/>
      <c r="J137" s="385"/>
      <c r="K137" s="385"/>
      <c r="L137" s="403"/>
      <c r="M137" s="403"/>
      <c r="N137" s="385"/>
      <c r="O137" s="385"/>
      <c r="P137" s="429"/>
      <c r="Q137" s="429"/>
      <c r="R137" s="429"/>
      <c r="S137" s="385"/>
    </row>
    <row r="138" spans="1:20" ht="15.75">
      <c r="A138" s="434">
        <v>55</v>
      </c>
      <c r="B138" s="383"/>
      <c r="C138" s="385" t="s">
        <v>552</v>
      </c>
      <c r="D138" s="403"/>
      <c r="E138" s="403"/>
      <c r="F138" s="385"/>
      <c r="G138" s="385"/>
      <c r="H138" s="403"/>
      <c r="I138" s="403"/>
      <c r="J138" s="385"/>
      <c r="K138" s="385"/>
      <c r="L138" s="403"/>
      <c r="M138" s="403"/>
      <c r="N138" s="385"/>
      <c r="O138" s="385"/>
      <c r="P138" s="429"/>
      <c r="Q138" s="429"/>
      <c r="R138" s="429"/>
      <c r="S138" s="385"/>
    </row>
    <row r="139" spans="1:20" ht="15">
      <c r="A139" s="434">
        <v>56</v>
      </c>
      <c r="C139" s="385" t="str">
        <f>+C64</f>
        <v>Fuel Adjustment</v>
      </c>
      <c r="D139" s="489"/>
      <c r="E139" s="385"/>
      <c r="F139" s="446"/>
      <c r="G139" s="385"/>
      <c r="H139" s="489"/>
      <c r="I139" s="385"/>
      <c r="J139" s="446"/>
      <c r="K139" s="385"/>
      <c r="L139" s="489"/>
      <c r="M139" s="385"/>
      <c r="N139" s="446"/>
      <c r="O139" s="385"/>
      <c r="P139" s="429"/>
      <c r="Q139" s="429"/>
      <c r="R139" s="429"/>
      <c r="S139" s="385"/>
      <c r="T139" s="385"/>
    </row>
    <row r="140" spans="1:20" ht="15.75">
      <c r="A140" s="434">
        <v>57</v>
      </c>
      <c r="B140" s="383"/>
      <c r="C140" s="385"/>
      <c r="D140" s="403"/>
      <c r="E140" s="403"/>
      <c r="F140" s="385"/>
      <c r="G140" s="385"/>
      <c r="H140" s="403"/>
      <c r="I140" s="403"/>
      <c r="J140" s="385"/>
      <c r="K140" s="385"/>
      <c r="L140" s="403"/>
      <c r="M140" s="403"/>
      <c r="N140" s="385"/>
      <c r="O140" s="385"/>
      <c r="P140" s="429"/>
      <c r="Q140" s="429"/>
      <c r="R140" s="429"/>
      <c r="S140" s="385"/>
    </row>
    <row r="141" spans="1:20" ht="15.75">
      <c r="A141" s="434">
        <v>58</v>
      </c>
      <c r="B141" s="383" t="s">
        <v>245</v>
      </c>
      <c r="C141" s="385"/>
      <c r="D141" s="392">
        <f>D66</f>
        <v>0</v>
      </c>
      <c r="E141" s="403"/>
      <c r="F141" s="405">
        <f>F66</f>
        <v>-173.13</v>
      </c>
      <c r="G141" s="385"/>
      <c r="H141" s="392">
        <f>H66</f>
        <v>0</v>
      </c>
      <c r="I141" s="403"/>
      <c r="J141" s="405">
        <f>J66</f>
        <v>-212.8</v>
      </c>
      <c r="K141" s="385"/>
      <c r="L141" s="392">
        <f>L66</f>
        <v>0</v>
      </c>
      <c r="M141" s="403"/>
      <c r="N141" s="405">
        <f>N66</f>
        <v>-208.66</v>
      </c>
      <c r="O141" s="385"/>
      <c r="P141" s="429"/>
      <c r="Q141" s="429"/>
      <c r="R141" s="429"/>
      <c r="S141" s="385"/>
    </row>
    <row r="142" spans="1:20" ht="15.75">
      <c r="A142" s="434">
        <v>59</v>
      </c>
      <c r="B142" s="383"/>
      <c r="C142" s="385"/>
      <c r="D142" s="403"/>
      <c r="E142" s="403"/>
      <c r="F142" s="385"/>
      <c r="G142" s="385"/>
      <c r="H142" s="403"/>
      <c r="I142" s="403"/>
      <c r="J142" s="385"/>
      <c r="K142" s="385"/>
      <c r="L142" s="403"/>
      <c r="M142" s="403"/>
      <c r="N142" s="385"/>
      <c r="O142" s="385"/>
      <c r="P142" s="429"/>
      <c r="Q142" s="429"/>
      <c r="R142" s="429"/>
      <c r="S142" s="385"/>
    </row>
    <row r="143" spans="1:20" ht="15.75">
      <c r="A143" s="434">
        <v>60</v>
      </c>
      <c r="B143" s="383"/>
      <c r="C143" s="385"/>
      <c r="D143" s="403"/>
      <c r="E143" s="403"/>
      <c r="F143" s="385"/>
      <c r="G143" s="385"/>
      <c r="H143" s="403"/>
      <c r="I143" s="403"/>
      <c r="J143" s="385"/>
      <c r="K143" s="385"/>
      <c r="L143" s="403"/>
      <c r="M143" s="403"/>
      <c r="N143" s="385"/>
      <c r="O143" s="385"/>
      <c r="P143" s="429"/>
      <c r="Q143" s="429"/>
      <c r="R143" s="429"/>
      <c r="S143" s="385"/>
    </row>
    <row r="144" spans="1:20" ht="15.75">
      <c r="A144" s="434">
        <v>61</v>
      </c>
      <c r="B144" s="423" t="s">
        <v>551</v>
      </c>
      <c r="C144" s="381"/>
      <c r="D144" s="403"/>
      <c r="E144" s="403"/>
      <c r="F144" s="385"/>
      <c r="G144" s="385"/>
      <c r="H144" s="403"/>
      <c r="I144" s="403"/>
      <c r="J144" s="385"/>
      <c r="K144" s="385"/>
      <c r="L144" s="403"/>
      <c r="M144" s="403"/>
      <c r="N144" s="385"/>
      <c r="O144" s="385"/>
      <c r="P144" s="429"/>
      <c r="Q144" s="429"/>
      <c r="R144" s="429"/>
      <c r="S144" s="385"/>
    </row>
    <row r="145" spans="1:19" ht="15">
      <c r="A145" s="434">
        <v>62</v>
      </c>
      <c r="C145" s="385" t="s">
        <v>245</v>
      </c>
      <c r="D145" s="392">
        <f>D98+D109+D119+D130+D141</f>
        <v>1711017</v>
      </c>
      <c r="E145" s="385"/>
      <c r="F145" s="405">
        <f>F98+F109+F119+F130+F141</f>
        <v>4122057.39</v>
      </c>
      <c r="G145" s="405"/>
      <c r="H145" s="392">
        <f>H98+H109+H119+H130+H141</f>
        <v>1793149</v>
      </c>
      <c r="I145" s="385"/>
      <c r="J145" s="405">
        <f>J98+J109+J119+J130+J141</f>
        <v>4792462.0100000007</v>
      </c>
      <c r="K145" s="405"/>
      <c r="L145" s="392">
        <f>L98+L109+L119+L130+L141</f>
        <v>1554675</v>
      </c>
      <c r="M145" s="385"/>
      <c r="N145" s="405">
        <f>N98+N109+N119+N130+N141</f>
        <v>4165875.6599999997</v>
      </c>
      <c r="O145" s="405"/>
      <c r="P145" s="429"/>
      <c r="Q145" s="429"/>
      <c r="R145" s="607"/>
      <c r="S145" s="385"/>
    </row>
    <row r="146" spans="1:19" ht="15">
      <c r="A146" s="434">
        <v>63</v>
      </c>
      <c r="C146" s="385"/>
      <c r="D146" s="392"/>
      <c r="E146" s="385"/>
      <c r="F146" s="392"/>
      <c r="G146" s="392"/>
      <c r="H146" s="392"/>
      <c r="I146" s="385"/>
      <c r="J146" s="392"/>
      <c r="K146" s="392"/>
      <c r="L146" s="392"/>
      <c r="M146" s="385"/>
      <c r="N146" s="392"/>
      <c r="O146" s="392"/>
      <c r="P146" s="429"/>
      <c r="Q146" s="429"/>
      <c r="R146" s="429"/>
      <c r="S146" s="385"/>
    </row>
    <row r="147" spans="1:19" ht="15">
      <c r="A147" s="434">
        <v>64</v>
      </c>
      <c r="B147" s="385"/>
      <c r="C147" s="385"/>
      <c r="D147" s="385"/>
      <c r="E147" s="385"/>
      <c r="F147" s="385"/>
      <c r="G147" s="385"/>
      <c r="H147" s="392"/>
      <c r="I147" s="385"/>
      <c r="J147" s="385" t="s">
        <v>550</v>
      </c>
      <c r="K147" s="385"/>
      <c r="L147" s="385"/>
      <c r="M147" s="385"/>
      <c r="N147" s="385"/>
      <c r="O147" s="385"/>
      <c r="P147" s="429"/>
      <c r="Q147" s="429"/>
      <c r="R147" s="429"/>
      <c r="S147" s="385"/>
    </row>
    <row r="148" spans="1:19" ht="15">
      <c r="A148" s="434">
        <v>65</v>
      </c>
      <c r="B148" s="385"/>
      <c r="C148" s="385"/>
      <c r="D148" s="385" t="s">
        <v>549</v>
      </c>
      <c r="E148" s="385"/>
      <c r="F148" s="385"/>
      <c r="G148" s="385"/>
      <c r="H148" s="385"/>
      <c r="I148" s="385"/>
      <c r="J148" s="385"/>
      <c r="K148" s="385"/>
      <c r="L148" s="385"/>
      <c r="M148" s="385"/>
      <c r="N148" s="385"/>
      <c r="O148" s="385"/>
      <c r="P148" s="429"/>
      <c r="Q148" s="429"/>
      <c r="R148" s="429"/>
      <c r="S148" s="385"/>
    </row>
    <row r="149" spans="1:19" ht="15">
      <c r="P149" s="429"/>
      <c r="Q149" s="429"/>
      <c r="R149" s="429"/>
    </row>
    <row r="150" spans="1:19" ht="15">
      <c r="C150" s="385"/>
      <c r="D150" s="392"/>
      <c r="E150" s="471"/>
      <c r="F150" s="403"/>
      <c r="G150" s="403"/>
      <c r="H150" s="392"/>
      <c r="I150" s="471"/>
      <c r="J150" s="403"/>
      <c r="K150" s="403"/>
      <c r="L150" s="392"/>
      <c r="M150" s="471"/>
      <c r="N150" s="403"/>
      <c r="O150" s="403"/>
      <c r="P150" s="429"/>
      <c r="Q150" s="429"/>
      <c r="R150" s="429"/>
      <c r="S150" s="385"/>
    </row>
    <row r="151" spans="1:19" ht="15">
      <c r="C151" s="385"/>
      <c r="D151" s="385"/>
      <c r="E151" s="385"/>
      <c r="F151" s="403"/>
      <c r="G151" s="403"/>
      <c r="H151" s="385"/>
      <c r="I151" s="385"/>
      <c r="J151" s="403"/>
      <c r="K151" s="403"/>
      <c r="L151" s="385"/>
      <c r="M151" s="385"/>
      <c r="N151" s="403"/>
      <c r="O151" s="403"/>
      <c r="P151" s="429"/>
      <c r="Q151" s="429"/>
      <c r="R151" s="429"/>
      <c r="S151" s="385"/>
    </row>
    <row r="152" spans="1:19" ht="15">
      <c r="C152" s="385"/>
      <c r="D152" s="442"/>
      <c r="E152" s="390"/>
      <c r="F152" s="390"/>
      <c r="G152" s="390"/>
      <c r="H152" s="442"/>
      <c r="I152" s="390"/>
      <c r="J152" s="390"/>
      <c r="K152" s="390"/>
      <c r="L152" s="442"/>
      <c r="M152" s="390"/>
      <c r="N152" s="390"/>
      <c r="O152" s="390"/>
      <c r="P152" s="429"/>
      <c r="Q152" s="429"/>
      <c r="R152" s="429"/>
      <c r="S152" s="390"/>
    </row>
    <row r="153" spans="1:19" ht="15">
      <c r="B153" s="385"/>
      <c r="C153" s="385"/>
      <c r="D153" s="442"/>
      <c r="E153" s="488"/>
      <c r="F153" s="479"/>
      <c r="G153" s="479"/>
      <c r="H153" s="442"/>
      <c r="I153" s="488"/>
      <c r="J153" s="479"/>
      <c r="K153" s="479"/>
      <c r="L153" s="442"/>
      <c r="M153" s="488"/>
      <c r="N153" s="479"/>
      <c r="O153" s="479"/>
      <c r="P153" s="429"/>
      <c r="Q153" s="429"/>
      <c r="R153" s="429"/>
      <c r="S153" s="390"/>
    </row>
    <row r="154" spans="1:19" ht="15.75">
      <c r="B154" s="383"/>
      <c r="C154" s="385"/>
      <c r="D154" s="442"/>
      <c r="E154" s="390"/>
      <c r="F154" s="477"/>
      <c r="G154" s="477"/>
      <c r="H154" s="442"/>
      <c r="I154" s="390"/>
      <c r="J154" s="477"/>
      <c r="K154" s="477"/>
      <c r="L154" s="442"/>
      <c r="M154" s="390"/>
      <c r="N154" s="477"/>
      <c r="O154" s="477"/>
      <c r="P154" s="429"/>
      <c r="Q154" s="429"/>
      <c r="R154" s="429"/>
      <c r="S154" s="390"/>
    </row>
    <row r="155" spans="1:19" ht="15.75">
      <c r="B155" s="383"/>
      <c r="C155" s="385"/>
      <c r="D155" s="442"/>
      <c r="E155" s="442"/>
      <c r="F155" s="442"/>
      <c r="G155" s="442"/>
      <c r="H155" s="442"/>
      <c r="I155" s="442"/>
      <c r="J155" s="442"/>
      <c r="K155" s="442"/>
      <c r="L155" s="442"/>
      <c r="M155" s="442"/>
      <c r="N155" s="442"/>
      <c r="O155" s="442"/>
      <c r="P155" s="429"/>
      <c r="Q155" s="429"/>
      <c r="R155" s="429"/>
      <c r="S155" s="390"/>
    </row>
    <row r="156" spans="1:19" ht="15.75">
      <c r="B156" s="383"/>
      <c r="C156" s="385"/>
      <c r="D156" s="479"/>
      <c r="E156" s="479"/>
      <c r="F156" s="390"/>
      <c r="G156" s="390"/>
      <c r="H156" s="479"/>
      <c r="I156" s="479"/>
      <c r="J156" s="390"/>
      <c r="K156" s="390"/>
      <c r="L156" s="479"/>
      <c r="M156" s="479"/>
      <c r="N156" s="390"/>
      <c r="O156" s="390"/>
      <c r="P156" s="429"/>
      <c r="Q156" s="429"/>
      <c r="R156" s="429"/>
      <c r="S156" s="390"/>
    </row>
    <row r="157" spans="1:19" ht="15.75">
      <c r="B157" s="423"/>
      <c r="C157" s="381"/>
      <c r="D157" s="479"/>
      <c r="E157" s="479"/>
      <c r="F157" s="390"/>
      <c r="G157" s="390"/>
      <c r="H157" s="479"/>
      <c r="I157" s="479"/>
      <c r="J157" s="390"/>
      <c r="K157" s="390"/>
      <c r="L157" s="479"/>
      <c r="M157" s="479"/>
      <c r="N157" s="390"/>
      <c r="O157" s="390"/>
      <c r="P157" s="429"/>
      <c r="Q157" s="429"/>
      <c r="R157" s="429"/>
      <c r="S157" s="390"/>
    </row>
    <row r="158" spans="1:19" ht="15">
      <c r="C158" s="385"/>
      <c r="D158" s="442"/>
      <c r="E158" s="390"/>
      <c r="F158" s="477"/>
      <c r="G158" s="477"/>
      <c r="H158" s="442"/>
      <c r="I158" s="390"/>
      <c r="J158" s="477"/>
      <c r="K158" s="477"/>
      <c r="L158" s="442"/>
      <c r="M158" s="390"/>
      <c r="N158" s="477"/>
      <c r="O158" s="477"/>
      <c r="P158" s="429"/>
      <c r="Q158" s="429"/>
      <c r="R158" s="429"/>
      <c r="S158" s="390"/>
    </row>
    <row r="159" spans="1:19" ht="15">
      <c r="C159" s="385"/>
      <c r="D159" s="442"/>
      <c r="E159" s="390"/>
      <c r="F159" s="442"/>
      <c r="G159" s="442"/>
      <c r="H159" s="442"/>
      <c r="I159" s="390"/>
      <c r="J159" s="442"/>
      <c r="K159" s="442"/>
      <c r="L159" s="442"/>
      <c r="M159" s="390"/>
      <c r="N159" s="442"/>
      <c r="O159" s="442"/>
      <c r="P159" s="429"/>
      <c r="Q159" s="429"/>
      <c r="R159" s="429"/>
      <c r="S159" s="390"/>
    </row>
    <row r="160" spans="1:19" ht="15">
      <c r="B160" s="385"/>
      <c r="C160" s="385"/>
      <c r="D160" s="390"/>
      <c r="E160" s="390"/>
      <c r="F160" s="390"/>
      <c r="G160" s="390"/>
      <c r="H160" s="390"/>
      <c r="I160" s="390"/>
      <c r="J160" s="390"/>
      <c r="K160" s="390"/>
      <c r="L160" s="390"/>
      <c r="M160" s="390"/>
      <c r="N160" s="390"/>
      <c r="O160" s="390"/>
      <c r="P160" s="429"/>
      <c r="Q160" s="429"/>
      <c r="R160" s="429"/>
      <c r="S160" s="390"/>
    </row>
    <row r="161" spans="2:19" ht="15">
      <c r="B161" s="385"/>
      <c r="C161" s="385"/>
      <c r="D161" s="390"/>
      <c r="E161" s="390"/>
      <c r="F161" s="390"/>
      <c r="G161" s="390"/>
      <c r="H161" s="390"/>
      <c r="I161" s="390"/>
      <c r="J161" s="390"/>
      <c r="K161" s="390"/>
      <c r="L161" s="390"/>
      <c r="M161" s="390"/>
      <c r="N161" s="390"/>
      <c r="O161" s="390"/>
      <c r="P161" s="429"/>
      <c r="Q161" s="429"/>
      <c r="R161" s="429"/>
      <c r="S161" s="390"/>
    </row>
    <row r="162" spans="2:19" ht="15">
      <c r="D162" s="386"/>
      <c r="E162" s="386"/>
      <c r="F162" s="386"/>
      <c r="G162" s="386"/>
      <c r="H162" s="386"/>
      <c r="I162" s="386"/>
      <c r="J162" s="386"/>
      <c r="K162" s="386"/>
      <c r="L162" s="386"/>
      <c r="M162" s="386"/>
      <c r="N162" s="386"/>
      <c r="O162" s="386"/>
      <c r="P162" s="429"/>
      <c r="Q162" s="429"/>
      <c r="R162" s="429"/>
      <c r="S162" s="386"/>
    </row>
    <row r="163" spans="2:19" ht="15">
      <c r="B163" s="385"/>
      <c r="C163" s="385"/>
      <c r="D163" s="390"/>
      <c r="E163" s="390"/>
      <c r="F163" s="390"/>
      <c r="G163" s="390"/>
      <c r="H163" s="390"/>
      <c r="I163" s="390"/>
      <c r="J163" s="390"/>
      <c r="K163" s="390"/>
      <c r="L163" s="390"/>
      <c r="M163" s="390"/>
      <c r="N163" s="390"/>
      <c r="O163" s="390"/>
      <c r="P163" s="429"/>
      <c r="Q163" s="429"/>
      <c r="R163" s="429"/>
      <c r="S163" s="390"/>
    </row>
    <row r="164" spans="2:19" ht="15">
      <c r="D164" s="386"/>
      <c r="E164" s="386"/>
      <c r="F164" s="386"/>
      <c r="G164" s="386"/>
      <c r="H164" s="386"/>
      <c r="I164" s="386"/>
      <c r="J164" s="386"/>
      <c r="K164" s="386"/>
      <c r="L164" s="386"/>
      <c r="M164" s="386"/>
      <c r="N164" s="386"/>
      <c r="O164" s="386"/>
      <c r="P164" s="429"/>
      <c r="Q164" s="429"/>
      <c r="R164" s="429"/>
      <c r="S164" s="386"/>
    </row>
    <row r="165" spans="2:19" ht="15">
      <c r="D165" s="386"/>
      <c r="E165" s="386"/>
      <c r="F165" s="386"/>
      <c r="G165" s="386"/>
      <c r="H165" s="386"/>
      <c r="I165" s="386"/>
      <c r="J165" s="386"/>
      <c r="K165" s="386"/>
      <c r="L165" s="386"/>
      <c r="M165" s="386"/>
      <c r="N165" s="386"/>
      <c r="O165" s="386"/>
      <c r="P165" s="429"/>
      <c r="Q165" s="429"/>
      <c r="R165" s="429"/>
      <c r="S165" s="386"/>
    </row>
    <row r="166" spans="2:19" ht="15">
      <c r="D166" s="386"/>
      <c r="E166" s="386"/>
      <c r="F166" s="386"/>
      <c r="G166" s="386"/>
      <c r="H166" s="386"/>
      <c r="I166" s="386"/>
      <c r="J166" s="386"/>
      <c r="K166" s="386"/>
      <c r="L166" s="386"/>
      <c r="M166" s="386"/>
      <c r="N166" s="386"/>
      <c r="O166" s="386"/>
      <c r="P166" s="429"/>
      <c r="Q166" s="429"/>
      <c r="R166" s="429"/>
      <c r="S166" s="386"/>
    </row>
    <row r="167" spans="2:19" ht="15">
      <c r="D167" s="386"/>
      <c r="E167" s="386"/>
      <c r="F167" s="386"/>
      <c r="G167" s="386"/>
      <c r="H167" s="386"/>
      <c r="I167" s="386"/>
      <c r="J167" s="386"/>
      <c r="K167" s="386"/>
      <c r="L167" s="386"/>
      <c r="M167" s="386"/>
      <c r="N167" s="386"/>
      <c r="O167" s="386"/>
      <c r="P167" s="429"/>
      <c r="Q167" s="429"/>
      <c r="R167" s="429"/>
      <c r="S167" s="386"/>
    </row>
    <row r="168" spans="2:19" ht="15">
      <c r="D168" s="386"/>
      <c r="E168" s="386"/>
      <c r="F168" s="386"/>
      <c r="G168" s="386"/>
      <c r="H168" s="386"/>
      <c r="I168" s="386"/>
      <c r="J168" s="386"/>
      <c r="K168" s="386"/>
      <c r="L168" s="386"/>
      <c r="M168" s="386"/>
      <c r="N168" s="386"/>
      <c r="O168" s="386"/>
      <c r="P168" s="429"/>
      <c r="Q168" s="429"/>
      <c r="R168" s="429"/>
      <c r="S168" s="386"/>
    </row>
    <row r="169" spans="2:19" ht="15">
      <c r="D169" s="386"/>
      <c r="E169" s="386"/>
      <c r="F169" s="386"/>
      <c r="G169" s="386"/>
      <c r="H169" s="386"/>
      <c r="I169" s="386"/>
      <c r="J169" s="386"/>
      <c r="K169" s="386"/>
      <c r="L169" s="386"/>
      <c r="M169" s="386"/>
      <c r="N169" s="386"/>
      <c r="O169" s="386"/>
      <c r="P169" s="429"/>
      <c r="Q169" s="429"/>
      <c r="R169" s="429"/>
      <c r="S169" s="386"/>
    </row>
    <row r="170" spans="2:19" ht="15">
      <c r="D170" s="386"/>
      <c r="E170" s="386"/>
      <c r="F170" s="386"/>
      <c r="G170" s="386"/>
      <c r="H170" s="386"/>
      <c r="I170" s="386"/>
      <c r="J170" s="386"/>
      <c r="K170" s="386"/>
      <c r="L170" s="386"/>
      <c r="M170" s="386"/>
      <c r="N170" s="386"/>
      <c r="O170" s="386"/>
      <c r="P170" s="429"/>
      <c r="Q170" s="429"/>
      <c r="R170" s="429"/>
      <c r="S170" s="386"/>
    </row>
    <row r="171" spans="2:19" ht="15">
      <c r="D171" s="386"/>
      <c r="E171" s="386"/>
      <c r="F171" s="386"/>
      <c r="G171" s="386"/>
      <c r="H171" s="386"/>
      <c r="I171" s="386"/>
      <c r="J171" s="386"/>
      <c r="K171" s="386"/>
      <c r="L171" s="386"/>
      <c r="M171" s="386"/>
      <c r="N171" s="386"/>
      <c r="O171" s="386"/>
      <c r="P171" s="429"/>
      <c r="Q171" s="429"/>
      <c r="R171" s="429"/>
      <c r="S171" s="386"/>
    </row>
    <row r="172" spans="2:19" ht="15">
      <c r="D172" s="386"/>
      <c r="E172" s="386"/>
      <c r="F172" s="386"/>
      <c r="G172" s="386"/>
      <c r="H172" s="386"/>
      <c r="I172" s="386"/>
      <c r="J172" s="386"/>
      <c r="K172" s="386"/>
      <c r="L172" s="386"/>
      <c r="M172" s="386"/>
      <c r="N172" s="386"/>
      <c r="O172" s="386"/>
      <c r="P172" s="429"/>
      <c r="Q172" s="429"/>
      <c r="R172" s="429"/>
      <c r="S172" s="386"/>
    </row>
    <row r="173" spans="2:19" ht="15">
      <c r="D173" s="386"/>
      <c r="E173" s="386"/>
      <c r="F173" s="386"/>
      <c r="G173" s="386"/>
      <c r="H173" s="386"/>
      <c r="I173" s="386"/>
      <c r="J173" s="386"/>
      <c r="K173" s="386"/>
      <c r="L173" s="386"/>
      <c r="M173" s="386"/>
      <c r="N173" s="386"/>
      <c r="O173" s="386"/>
      <c r="P173" s="429"/>
      <c r="Q173" s="429"/>
      <c r="R173" s="429"/>
      <c r="S173" s="386"/>
    </row>
    <row r="174" spans="2:19" ht="15">
      <c r="D174" s="386"/>
      <c r="E174" s="386"/>
      <c r="F174" s="386"/>
      <c r="G174" s="386"/>
      <c r="H174" s="386"/>
      <c r="I174" s="386"/>
      <c r="J174" s="386"/>
      <c r="K174" s="386"/>
      <c r="L174" s="386"/>
      <c r="M174" s="386"/>
      <c r="N174" s="386"/>
      <c r="O174" s="386"/>
      <c r="P174" s="429"/>
      <c r="Q174" s="429"/>
      <c r="R174" s="429"/>
      <c r="S174" s="386"/>
    </row>
    <row r="175" spans="2:19" ht="15">
      <c r="D175" s="386"/>
      <c r="E175" s="386"/>
      <c r="F175" s="386"/>
      <c r="G175" s="386"/>
      <c r="H175" s="386"/>
      <c r="I175" s="386"/>
      <c r="J175" s="386"/>
      <c r="K175" s="386"/>
      <c r="L175" s="386"/>
      <c r="M175" s="386"/>
      <c r="N175" s="386"/>
      <c r="O175" s="386"/>
      <c r="P175" s="429"/>
      <c r="Q175" s="429"/>
      <c r="R175" s="429"/>
      <c r="S175" s="386"/>
    </row>
    <row r="176" spans="2:19" ht="15">
      <c r="D176" s="386"/>
      <c r="E176" s="386"/>
      <c r="F176" s="386"/>
      <c r="G176" s="386"/>
      <c r="H176" s="386"/>
      <c r="I176" s="386"/>
      <c r="J176" s="386"/>
      <c r="K176" s="386"/>
      <c r="L176" s="386"/>
      <c r="M176" s="386"/>
      <c r="N176" s="386"/>
      <c r="O176" s="386"/>
      <c r="P176" s="429"/>
      <c r="Q176" s="429"/>
      <c r="R176" s="429"/>
      <c r="S176" s="386"/>
    </row>
    <row r="177" spans="4:19" ht="15">
      <c r="D177" s="386"/>
      <c r="E177" s="386"/>
      <c r="F177" s="386"/>
      <c r="G177" s="386"/>
      <c r="H177" s="386"/>
      <c r="I177" s="386"/>
      <c r="J177" s="386"/>
      <c r="K177" s="386"/>
      <c r="L177" s="386"/>
      <c r="M177" s="386"/>
      <c r="N177" s="386"/>
      <c r="O177" s="386"/>
      <c r="P177" s="429"/>
      <c r="Q177" s="429"/>
      <c r="R177" s="429"/>
      <c r="S177" s="386"/>
    </row>
    <row r="178" spans="4:19" ht="15">
      <c r="D178" s="386"/>
      <c r="E178" s="386"/>
      <c r="F178" s="386"/>
      <c r="G178" s="386"/>
      <c r="H178" s="386"/>
      <c r="I178" s="386"/>
      <c r="J178" s="386"/>
      <c r="K178" s="386"/>
      <c r="L178" s="386"/>
      <c r="M178" s="386"/>
      <c r="N178" s="386"/>
      <c r="O178" s="386"/>
      <c r="P178" s="429"/>
      <c r="Q178" s="429"/>
      <c r="R178" s="429"/>
      <c r="S178" s="386"/>
    </row>
    <row r="179" spans="4:19" ht="15">
      <c r="D179" s="386"/>
      <c r="E179" s="386"/>
      <c r="F179" s="386"/>
      <c r="G179" s="386"/>
      <c r="H179" s="386"/>
      <c r="I179" s="386"/>
      <c r="J179" s="386"/>
      <c r="K179" s="386"/>
      <c r="L179" s="386"/>
      <c r="M179" s="386"/>
      <c r="N179" s="386"/>
      <c r="O179" s="386"/>
      <c r="P179" s="429"/>
      <c r="Q179" s="429"/>
      <c r="R179" s="429"/>
      <c r="S179" s="386"/>
    </row>
    <row r="180" spans="4:19" ht="15">
      <c r="D180" s="386"/>
      <c r="E180" s="386"/>
      <c r="F180" s="386"/>
      <c r="G180" s="386"/>
      <c r="H180" s="386"/>
      <c r="I180" s="386"/>
      <c r="J180" s="386"/>
      <c r="K180" s="386"/>
      <c r="L180" s="386"/>
      <c r="M180" s="386"/>
      <c r="N180" s="386"/>
      <c r="O180" s="386"/>
      <c r="P180" s="429"/>
      <c r="Q180" s="429"/>
      <c r="R180" s="429"/>
      <c r="S180" s="386"/>
    </row>
    <row r="181" spans="4:19" ht="15">
      <c r="D181" s="386"/>
      <c r="E181" s="386"/>
      <c r="F181" s="386"/>
      <c r="G181" s="386"/>
      <c r="H181" s="386"/>
      <c r="I181" s="386"/>
      <c r="J181" s="386"/>
      <c r="K181" s="386"/>
      <c r="L181" s="386"/>
      <c r="M181" s="386"/>
      <c r="N181" s="386"/>
      <c r="O181" s="386"/>
      <c r="P181" s="429"/>
      <c r="Q181" s="429"/>
      <c r="R181" s="429"/>
      <c r="S181" s="386"/>
    </row>
    <row r="182" spans="4:19">
      <c r="D182" s="386"/>
      <c r="E182" s="386"/>
      <c r="F182" s="386"/>
      <c r="G182" s="386"/>
      <c r="H182" s="386"/>
      <c r="I182" s="386"/>
      <c r="J182" s="386"/>
      <c r="K182" s="386"/>
      <c r="L182" s="386"/>
      <c r="M182" s="386"/>
      <c r="N182" s="386"/>
      <c r="O182" s="386"/>
      <c r="P182" s="386"/>
      <c r="Q182" s="386"/>
      <c r="R182" s="386"/>
      <c r="S182" s="386"/>
    </row>
    <row r="183" spans="4:19">
      <c r="D183" s="386"/>
      <c r="E183" s="386"/>
      <c r="F183" s="386"/>
      <c r="G183" s="386"/>
      <c r="H183" s="386"/>
      <c r="I183" s="386"/>
      <c r="J183" s="386"/>
      <c r="K183" s="386"/>
      <c r="L183" s="386"/>
      <c r="M183" s="386"/>
      <c r="N183" s="386"/>
      <c r="O183" s="386"/>
      <c r="P183" s="386"/>
      <c r="Q183" s="386"/>
      <c r="R183" s="386"/>
      <c r="S183" s="386"/>
    </row>
    <row r="184" spans="4:19">
      <c r="D184" s="386"/>
      <c r="E184" s="386"/>
      <c r="F184" s="386"/>
      <c r="G184" s="386"/>
      <c r="H184" s="386"/>
      <c r="I184" s="386"/>
      <c r="J184" s="386"/>
      <c r="K184" s="386"/>
      <c r="L184" s="386"/>
      <c r="M184" s="386"/>
      <c r="N184" s="386"/>
      <c r="O184" s="386"/>
      <c r="P184" s="386"/>
      <c r="Q184" s="386"/>
      <c r="R184" s="386"/>
      <c r="S184" s="386"/>
    </row>
    <row r="185" spans="4:19">
      <c r="D185" s="386"/>
      <c r="E185" s="386"/>
      <c r="F185" s="386"/>
      <c r="G185" s="386"/>
      <c r="H185" s="386"/>
      <c r="I185" s="386"/>
      <c r="J185" s="386"/>
      <c r="K185" s="386"/>
      <c r="L185" s="386"/>
      <c r="M185" s="386"/>
      <c r="N185" s="386"/>
      <c r="O185" s="386"/>
      <c r="P185" s="386"/>
      <c r="Q185" s="386"/>
      <c r="R185" s="386"/>
      <c r="S185" s="386"/>
    </row>
    <row r="186" spans="4:19">
      <c r="D186" s="386"/>
      <c r="E186" s="386"/>
      <c r="F186" s="386"/>
      <c r="G186" s="386"/>
      <c r="H186" s="386"/>
      <c r="I186" s="386"/>
      <c r="J186" s="386"/>
      <c r="K186" s="386"/>
      <c r="L186" s="386"/>
      <c r="M186" s="386"/>
      <c r="N186" s="386"/>
      <c r="O186" s="386"/>
      <c r="P186" s="386"/>
      <c r="Q186" s="386"/>
      <c r="R186" s="386"/>
      <c r="S186" s="386"/>
    </row>
    <row r="187" spans="4:19">
      <c r="D187" s="386"/>
      <c r="E187" s="386"/>
      <c r="F187" s="386"/>
      <c r="G187" s="386"/>
      <c r="H187" s="386"/>
      <c r="I187" s="386"/>
      <c r="J187" s="386"/>
      <c r="K187" s="386"/>
      <c r="L187" s="386"/>
      <c r="M187" s="386"/>
      <c r="N187" s="386"/>
      <c r="O187" s="386"/>
      <c r="P187" s="386"/>
      <c r="Q187" s="386"/>
      <c r="R187" s="386"/>
      <c r="S187" s="386"/>
    </row>
    <row r="188" spans="4:19">
      <c r="D188" s="386"/>
      <c r="E188" s="386"/>
      <c r="F188" s="386"/>
      <c r="G188" s="386"/>
      <c r="H188" s="386"/>
      <c r="I188" s="386"/>
      <c r="J188" s="386"/>
      <c r="K188" s="386"/>
      <c r="L188" s="386"/>
      <c r="M188" s="386"/>
      <c r="N188" s="386"/>
      <c r="O188" s="386"/>
      <c r="P188" s="386"/>
      <c r="Q188" s="386"/>
      <c r="R188" s="386"/>
      <c r="S188" s="386"/>
    </row>
  </sheetData>
  <sortState ref="J145">
    <sortCondition ref="J145"/>
  </sortState>
  <printOptions horizontalCentered="1"/>
  <pageMargins left="0.5" right="0.5" top="0.5" bottom="0.5" header="0.5" footer="0.5"/>
  <pageSetup scale="63" fitToHeight="2" orientation="portrait" r:id="rId1"/>
  <headerFooter alignWithMargins="0"/>
  <customProperties>
    <customPr name="_pios_id" r:id="rId2"/>
  </customProperties>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J25"/>
  <sheetViews>
    <sheetView zoomScale="80" zoomScaleNormal="80" workbookViewId="0">
      <pane ySplit="4" topLeftCell="A5" activePane="bottomLeft" state="frozen"/>
      <selection activeCell="E33" sqref="E33"/>
      <selection pane="bottomLeft" activeCell="E33" sqref="E33"/>
    </sheetView>
  </sheetViews>
  <sheetFormatPr defaultColWidth="9.140625" defaultRowHeight="12.75"/>
  <cols>
    <col min="1" max="1" width="6.28515625" style="503" customWidth="1"/>
    <col min="2" max="2" width="7.7109375" style="503" bestFit="1" customWidth="1"/>
    <col min="3" max="3" width="14.42578125" style="503" customWidth="1"/>
    <col min="4" max="4" width="14.5703125" style="503" bestFit="1" customWidth="1"/>
    <col min="5" max="5" width="14" style="503" bestFit="1" customWidth="1"/>
    <col min="6" max="6" width="13.7109375" style="503" bestFit="1" customWidth="1"/>
    <col min="7" max="7" width="11.85546875" style="503" bestFit="1" customWidth="1"/>
    <col min="8" max="8" width="11.28515625" style="503" bestFit="1" customWidth="1"/>
    <col min="9" max="9" width="12.85546875" style="503" bestFit="1" customWidth="1"/>
    <col min="10" max="10" width="15" style="503" bestFit="1" customWidth="1"/>
    <col min="11" max="16384" width="9.140625" style="503"/>
  </cols>
  <sheetData>
    <row r="1" spans="1:10" ht="15">
      <c r="A1" s="510" t="s">
        <v>51</v>
      </c>
      <c r="J1" s="385" t="s">
        <v>485</v>
      </c>
    </row>
    <row r="2" spans="1:10" ht="14.25">
      <c r="A2" s="509" t="s">
        <v>576</v>
      </c>
      <c r="J2" s="385" t="s">
        <v>584</v>
      </c>
    </row>
    <row r="3" spans="1:10" ht="14.25">
      <c r="A3" s="509" t="s">
        <v>1050</v>
      </c>
      <c r="I3" s="508"/>
      <c r="J3" s="508"/>
    </row>
    <row r="4" spans="1:10">
      <c r="I4" s="508"/>
      <c r="J4" s="508"/>
    </row>
    <row r="5" spans="1:10" ht="38.25">
      <c r="A5" s="507" t="s">
        <v>583</v>
      </c>
      <c r="B5" s="507" t="s">
        <v>167</v>
      </c>
      <c r="C5" s="507" t="s">
        <v>582</v>
      </c>
      <c r="D5" s="507" t="s">
        <v>581</v>
      </c>
      <c r="E5" s="507" t="s">
        <v>580</v>
      </c>
      <c r="F5" s="507" t="s">
        <v>579</v>
      </c>
      <c r="G5" s="507" t="s">
        <v>578</v>
      </c>
      <c r="H5" s="507" t="s">
        <v>577</v>
      </c>
      <c r="I5" s="507" t="s">
        <v>576</v>
      </c>
      <c r="J5" s="507" t="s">
        <v>575</v>
      </c>
    </row>
    <row r="6" spans="1:10">
      <c r="B6" s="506" t="s">
        <v>46</v>
      </c>
      <c r="C6" s="506" t="s">
        <v>45</v>
      </c>
      <c r="D6" s="506" t="s">
        <v>44</v>
      </c>
      <c r="E6" s="506" t="s">
        <v>252</v>
      </c>
      <c r="F6" s="506" t="s">
        <v>251</v>
      </c>
      <c r="G6" s="506" t="s">
        <v>335</v>
      </c>
      <c r="H6" s="506" t="s">
        <v>482</v>
      </c>
      <c r="I6" s="506" t="s">
        <v>546</v>
      </c>
      <c r="J6" s="506" t="s">
        <v>545</v>
      </c>
    </row>
    <row r="7" spans="1:10" ht="18" customHeight="1">
      <c r="A7" s="505">
        <v>1</v>
      </c>
      <c r="B7" s="837">
        <v>41609</v>
      </c>
      <c r="C7" s="838">
        <v>-61142.54</v>
      </c>
      <c r="D7" s="838">
        <v>-73651.55</v>
      </c>
      <c r="E7" s="838">
        <f>+-5235.07+-1250.35</f>
        <v>-6485.42</v>
      </c>
      <c r="F7" s="838">
        <f>+-141279.51</f>
        <v>-141279.51</v>
      </c>
      <c r="G7" s="838">
        <f>17967.3+510.43</f>
        <v>18477.73</v>
      </c>
      <c r="H7" s="838">
        <v>15168.71</v>
      </c>
      <c r="I7" s="600">
        <f t="shared" ref="I7:I18" si="0">-C7-G7</f>
        <v>42664.81</v>
      </c>
      <c r="J7" s="600">
        <f>SUM(I$7:I7)</f>
        <v>42664.81</v>
      </c>
    </row>
    <row r="8" spans="1:10">
      <c r="A8" s="505">
        <v>2</v>
      </c>
      <c r="B8" s="837">
        <v>41640</v>
      </c>
      <c r="C8" s="838">
        <v>-28363.27</v>
      </c>
      <c r="D8" s="838">
        <v>-52067.360000000001</v>
      </c>
      <c r="E8" s="838">
        <f>+-2696.2+-537.84</f>
        <v>-3234.04</v>
      </c>
      <c r="F8" s="838">
        <f>+-83664.67</f>
        <v>-83664.67</v>
      </c>
      <c r="G8" s="838">
        <f>12092.74+582.63</f>
        <v>12675.369999999999</v>
      </c>
      <c r="H8" s="838">
        <v>12684</v>
      </c>
      <c r="I8" s="600">
        <f t="shared" si="0"/>
        <v>15687.900000000001</v>
      </c>
      <c r="J8" s="600">
        <f>SUM(I$7:I8)</f>
        <v>58352.71</v>
      </c>
    </row>
    <row r="9" spans="1:10">
      <c r="A9" s="505">
        <v>3</v>
      </c>
      <c r="B9" s="837">
        <v>41671</v>
      </c>
      <c r="C9" s="838">
        <v>-19001.55</v>
      </c>
      <c r="D9" s="838">
        <v>-33043.97</v>
      </c>
      <c r="E9" s="838">
        <f>+-1701.53+-278.08</f>
        <v>-1979.61</v>
      </c>
      <c r="F9" s="838">
        <f>+-54025.13</f>
        <v>-54025.13</v>
      </c>
      <c r="G9" s="838">
        <f>20159.71+336.69</f>
        <v>20496.399999999998</v>
      </c>
      <c r="H9" s="838">
        <v>16871.830000000002</v>
      </c>
      <c r="I9" s="600">
        <f t="shared" si="0"/>
        <v>-1494.8499999999985</v>
      </c>
      <c r="J9" s="600">
        <f>SUM(I$7:I9)</f>
        <v>56857.86</v>
      </c>
    </row>
    <row r="10" spans="1:10">
      <c r="A10" s="505">
        <v>4</v>
      </c>
      <c r="B10" s="837">
        <v>41699</v>
      </c>
      <c r="C10" s="838">
        <v>-37635.47</v>
      </c>
      <c r="D10" s="838">
        <v>-60291.85</v>
      </c>
      <c r="E10" s="838">
        <f>+-3514.35+-764.97</f>
        <v>-4279.32</v>
      </c>
      <c r="F10" s="838">
        <f>+-102206.64</f>
        <v>-102206.64</v>
      </c>
      <c r="G10" s="838">
        <f>9838.44+327.15</f>
        <v>10165.59</v>
      </c>
      <c r="H10" s="838">
        <v>10779.75</v>
      </c>
      <c r="I10" s="600">
        <f t="shared" si="0"/>
        <v>27469.88</v>
      </c>
      <c r="J10" s="600">
        <f>SUM(I$7:I10)</f>
        <v>84327.74</v>
      </c>
    </row>
    <row r="11" spans="1:10">
      <c r="A11" s="505">
        <v>5</v>
      </c>
      <c r="B11" s="837">
        <v>41730</v>
      </c>
      <c r="C11" s="838">
        <v>-39017.14</v>
      </c>
      <c r="D11" s="838">
        <v>-53059.85</v>
      </c>
      <c r="E11" s="838">
        <f>+-3362.6+-718.14</f>
        <v>-4080.74</v>
      </c>
      <c r="F11" s="838">
        <f>+-96157.73</f>
        <v>-96157.73</v>
      </c>
      <c r="G11" s="838">
        <v>10038.85</v>
      </c>
      <c r="H11" s="838">
        <v>8550.51</v>
      </c>
      <c r="I11" s="600">
        <f t="shared" si="0"/>
        <v>28978.29</v>
      </c>
      <c r="J11" s="600">
        <f>SUM(I$7:I11)</f>
        <v>113306.03</v>
      </c>
    </row>
    <row r="12" spans="1:10">
      <c r="A12" s="505">
        <v>6</v>
      </c>
      <c r="B12" s="837">
        <v>41760</v>
      </c>
      <c r="C12" s="838">
        <v>-47407.7</v>
      </c>
      <c r="D12" s="838">
        <v>-52789.88</v>
      </c>
      <c r="E12" s="838">
        <f>-3517.03+-755.62</f>
        <v>-4272.6500000000005</v>
      </c>
      <c r="F12" s="838">
        <v>-104470.23</v>
      </c>
      <c r="G12" s="838">
        <v>6825.14</v>
      </c>
      <c r="H12" s="838">
        <v>6785.8</v>
      </c>
      <c r="I12" s="600">
        <f t="shared" si="0"/>
        <v>40582.559999999998</v>
      </c>
      <c r="J12" s="600">
        <f>SUM(I$7:I12)</f>
        <v>153888.59</v>
      </c>
    </row>
    <row r="13" spans="1:10">
      <c r="A13" s="505">
        <v>7</v>
      </c>
      <c r="B13" s="837">
        <v>41791</v>
      </c>
      <c r="C13" s="838">
        <v>-73888.61</v>
      </c>
      <c r="D13" s="838">
        <v>-53045.65</v>
      </c>
      <c r="E13" s="838">
        <f>-4528.73+-672.27</f>
        <v>-5201</v>
      </c>
      <c r="F13" s="838">
        <v>-132135.26</v>
      </c>
      <c r="G13" s="838">
        <v>6797.67</v>
      </c>
      <c r="H13" s="838">
        <v>6423.62</v>
      </c>
      <c r="I13" s="600">
        <f t="shared" si="0"/>
        <v>67090.94</v>
      </c>
      <c r="J13" s="600">
        <f>SUM(I$7:I13)</f>
        <v>220979.53</v>
      </c>
    </row>
    <row r="14" spans="1:10">
      <c r="A14" s="505">
        <v>8</v>
      </c>
      <c r="B14" s="837">
        <v>41821</v>
      </c>
      <c r="C14" s="838">
        <f>-122705.73+-56.97</f>
        <v>-122762.7</v>
      </c>
      <c r="D14" s="838">
        <v>-76465.59</v>
      </c>
      <c r="E14" s="838">
        <f>-7839.24+-1272.67</f>
        <v>-9111.91</v>
      </c>
      <c r="F14" s="838">
        <v>-208283.23</v>
      </c>
      <c r="G14" s="838">
        <v>7838.56</v>
      </c>
      <c r="H14" s="838">
        <v>7689.9</v>
      </c>
      <c r="I14" s="600">
        <f t="shared" si="0"/>
        <v>114924.14</v>
      </c>
      <c r="J14" s="600">
        <f>SUM(I$7:I14)</f>
        <v>335903.67</v>
      </c>
    </row>
    <row r="15" spans="1:10">
      <c r="A15" s="505">
        <v>9</v>
      </c>
      <c r="B15" s="837">
        <v>41852</v>
      </c>
      <c r="C15" s="838">
        <v>-217494</v>
      </c>
      <c r="D15" s="838">
        <v>-128778.25</v>
      </c>
      <c r="E15" s="838">
        <f>-13243.69+-2427.2</f>
        <v>-15670.89</v>
      </c>
      <c r="F15" s="838">
        <v>-361493.14</v>
      </c>
      <c r="G15" s="838">
        <v>10532.37</v>
      </c>
      <c r="H15" s="838">
        <v>10923.63</v>
      </c>
      <c r="I15" s="600">
        <f t="shared" si="0"/>
        <v>206961.63</v>
      </c>
      <c r="J15" s="600">
        <f>SUM(I$7:I15)</f>
        <v>542865.30000000005</v>
      </c>
    </row>
    <row r="16" spans="1:10">
      <c r="A16" s="505">
        <v>10</v>
      </c>
      <c r="B16" s="837">
        <v>41883</v>
      </c>
      <c r="C16" s="838">
        <v>-263107.05</v>
      </c>
      <c r="D16" s="838">
        <v>-165421.10999999999</v>
      </c>
      <c r="E16" s="838">
        <f>-15160.77+-2876.55</f>
        <v>-18037.32</v>
      </c>
      <c r="F16" s="838">
        <v>-446565.48</v>
      </c>
      <c r="G16" s="838">
        <f>12345.56+7.49</f>
        <v>12353.05</v>
      </c>
      <c r="H16" s="838">
        <v>11403.28</v>
      </c>
      <c r="I16" s="600">
        <f t="shared" si="0"/>
        <v>250754</v>
      </c>
      <c r="J16" s="600">
        <f>SUM(I$7:I16)</f>
        <v>793619.3</v>
      </c>
    </row>
    <row r="17" spans="1:10">
      <c r="A17" s="989">
        <v>11</v>
      </c>
      <c r="B17" s="837">
        <v>41913</v>
      </c>
      <c r="C17" s="838">
        <v>-312438.07</v>
      </c>
      <c r="D17" s="838">
        <v>-185849.06</v>
      </c>
      <c r="E17" s="838">
        <f>-18855.09+-3427.53</f>
        <v>-22282.62</v>
      </c>
      <c r="F17" s="838">
        <v>-520569.75</v>
      </c>
      <c r="G17" s="838">
        <f>42354.67+107.05</f>
        <v>42461.72</v>
      </c>
      <c r="H17" s="838">
        <v>36328.57</v>
      </c>
      <c r="I17" s="600">
        <f t="shared" si="0"/>
        <v>269976.34999999998</v>
      </c>
      <c r="J17" s="600">
        <f>SUM(I$7:I17)</f>
        <v>1063595.6499999999</v>
      </c>
    </row>
    <row r="18" spans="1:10">
      <c r="A18" s="989">
        <v>12</v>
      </c>
      <c r="B18" s="837">
        <v>41944</v>
      </c>
      <c r="C18" s="838">
        <v>-70909.95</v>
      </c>
      <c r="D18" s="838">
        <v>-70254.05</v>
      </c>
      <c r="E18" s="838">
        <f>+-5820.17+-918.93</f>
        <v>-6739.1</v>
      </c>
      <c r="F18" s="838">
        <v>-147903.1</v>
      </c>
      <c r="G18" s="838">
        <v>67671.8</v>
      </c>
      <c r="H18" s="838">
        <v>54282.98</v>
      </c>
      <c r="I18" s="600">
        <f t="shared" si="0"/>
        <v>3238.1499999999942</v>
      </c>
      <c r="J18" s="600">
        <f>SUM(I$7:I18)</f>
        <v>1066833.7999999998</v>
      </c>
    </row>
    <row r="19" spans="1:10">
      <c r="A19" s="505"/>
      <c r="C19" s="504"/>
      <c r="D19" s="504"/>
      <c r="E19" s="504"/>
      <c r="F19" s="504"/>
      <c r="G19" s="504"/>
      <c r="H19" s="504"/>
      <c r="I19" s="504"/>
      <c r="J19" s="504"/>
    </row>
    <row r="20" spans="1:10">
      <c r="A20" s="505"/>
      <c r="C20" s="504"/>
      <c r="D20" s="504"/>
      <c r="E20" s="504"/>
      <c r="F20" s="504"/>
      <c r="G20" s="504"/>
      <c r="H20" s="504"/>
      <c r="I20" s="504"/>
      <c r="J20" s="504"/>
    </row>
    <row r="21" spans="1:10">
      <c r="A21" s="505"/>
      <c r="C21" s="504"/>
      <c r="D21" s="504"/>
      <c r="E21" s="504"/>
      <c r="F21" s="504"/>
      <c r="G21" s="504"/>
      <c r="H21" s="504"/>
      <c r="I21" s="504"/>
      <c r="J21" s="504"/>
    </row>
    <row r="22" spans="1:10">
      <c r="A22" s="505"/>
      <c r="C22" s="504"/>
      <c r="D22" s="504"/>
      <c r="E22" s="504"/>
      <c r="F22" s="504"/>
      <c r="G22" s="504"/>
      <c r="H22" s="504"/>
      <c r="I22" s="504"/>
      <c r="J22" s="504"/>
    </row>
    <row r="23" spans="1:10">
      <c r="C23" s="504"/>
      <c r="D23" s="504"/>
      <c r="E23" s="504"/>
      <c r="F23" s="504"/>
      <c r="G23" s="504"/>
      <c r="H23" s="504"/>
      <c r="I23" s="504"/>
      <c r="J23" s="504"/>
    </row>
    <row r="24" spans="1:10">
      <c r="C24" s="504"/>
      <c r="D24" s="504"/>
      <c r="E24" s="504"/>
      <c r="F24" s="504"/>
      <c r="G24" s="504"/>
      <c r="H24" s="504"/>
      <c r="I24" s="504"/>
      <c r="J24" s="504"/>
    </row>
    <row r="25" spans="1:10">
      <c r="F25" s="932" t="s">
        <v>1025</v>
      </c>
    </row>
  </sheetData>
  <pageMargins left="0.75" right="0.5" top="0.75" bottom="0.5" header="0.75" footer="0.5"/>
  <pageSetup orientation="landscape" r:id="rId1"/>
  <headerFooter alignWithMargins="0"/>
  <customProperties>
    <customPr name="_pios_id" r:id="rId2"/>
  </customPropertie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pageSetUpPr fitToPage="1"/>
  </sheetPr>
  <dimension ref="A1:T67"/>
  <sheetViews>
    <sheetView topLeftCell="A10" zoomScale="85" zoomScaleNormal="85" workbookViewId="0">
      <selection activeCell="E33" sqref="E33"/>
    </sheetView>
  </sheetViews>
  <sheetFormatPr defaultRowHeight="12.75"/>
  <cols>
    <col min="1" max="6" width="8.85546875" style="536"/>
    <col min="7" max="7" width="11.28515625" style="536" customWidth="1"/>
    <col min="8" max="8" width="9.42578125" style="536" bestFit="1" customWidth="1"/>
    <col min="9" max="9" width="12.140625" style="536" customWidth="1"/>
    <col min="10" max="10" width="10.28515625" style="536" customWidth="1"/>
    <col min="11" max="11" width="14" style="536" bestFit="1" customWidth="1"/>
    <col min="12" max="14" width="8.85546875" style="536"/>
    <col min="15" max="15" width="10.85546875" style="536" customWidth="1"/>
    <col min="16" max="16" width="10.28515625" style="536" bestFit="1" customWidth="1"/>
    <col min="17" max="262" width="8.85546875" style="536"/>
    <col min="263" max="263" width="11.28515625" style="536" bestFit="1" customWidth="1"/>
    <col min="264" max="264" width="9.42578125" style="536" bestFit="1" customWidth="1"/>
    <col min="265" max="265" width="12.140625" style="536" bestFit="1" customWidth="1"/>
    <col min="266" max="266" width="10.28515625" style="536" bestFit="1" customWidth="1"/>
    <col min="267" max="267" width="14" style="536" bestFit="1" customWidth="1"/>
    <col min="268" max="270" width="8.85546875" style="536"/>
    <col min="271" max="271" width="10.85546875" style="536" customWidth="1"/>
    <col min="272" max="272" width="10.28515625" style="536" bestFit="1" customWidth="1"/>
    <col min="273" max="518" width="8.85546875" style="536"/>
    <col min="519" max="519" width="11.28515625" style="536" bestFit="1" customWidth="1"/>
    <col min="520" max="520" width="9.42578125" style="536" bestFit="1" customWidth="1"/>
    <col min="521" max="521" width="12.140625" style="536" bestFit="1" customWidth="1"/>
    <col min="522" max="522" width="10.28515625" style="536" bestFit="1" customWidth="1"/>
    <col min="523" max="523" width="14" style="536" bestFit="1" customWidth="1"/>
    <col min="524" max="526" width="8.85546875" style="536"/>
    <col min="527" max="527" width="10.85546875" style="536" customWidth="1"/>
    <col min="528" max="528" width="10.28515625" style="536" bestFit="1" customWidth="1"/>
    <col min="529" max="774" width="8.85546875" style="536"/>
    <col min="775" max="775" width="11.28515625" style="536" bestFit="1" customWidth="1"/>
    <col min="776" max="776" width="9.42578125" style="536" bestFit="1" customWidth="1"/>
    <col min="777" max="777" width="12.140625" style="536" bestFit="1" customWidth="1"/>
    <col min="778" max="778" width="10.28515625" style="536" bestFit="1" customWidth="1"/>
    <col min="779" max="779" width="14" style="536" bestFit="1" customWidth="1"/>
    <col min="780" max="782" width="8.85546875" style="536"/>
    <col min="783" max="783" width="10.85546875" style="536" customWidth="1"/>
    <col min="784" max="784" width="10.28515625" style="536" bestFit="1" customWidth="1"/>
    <col min="785" max="1030" width="8.85546875" style="536"/>
    <col min="1031" max="1031" width="11.28515625" style="536" bestFit="1" customWidth="1"/>
    <col min="1032" max="1032" width="9.42578125" style="536" bestFit="1" customWidth="1"/>
    <col min="1033" max="1033" width="12.140625" style="536" bestFit="1" customWidth="1"/>
    <col min="1034" max="1034" width="10.28515625" style="536" bestFit="1" customWidth="1"/>
    <col min="1035" max="1035" width="14" style="536" bestFit="1" customWidth="1"/>
    <col min="1036" max="1038" width="8.85546875" style="536"/>
    <col min="1039" max="1039" width="10.85546875" style="536" customWidth="1"/>
    <col min="1040" max="1040" width="10.28515625" style="536" bestFit="1" customWidth="1"/>
    <col min="1041" max="1286" width="8.85546875" style="536"/>
    <col min="1287" max="1287" width="11.28515625" style="536" bestFit="1" customWidth="1"/>
    <col min="1288" max="1288" width="9.42578125" style="536" bestFit="1" customWidth="1"/>
    <col min="1289" max="1289" width="12.140625" style="536" bestFit="1" customWidth="1"/>
    <col min="1290" max="1290" width="10.28515625" style="536" bestFit="1" customWidth="1"/>
    <col min="1291" max="1291" width="14" style="536" bestFit="1" customWidth="1"/>
    <col min="1292" max="1294" width="8.85546875" style="536"/>
    <col min="1295" max="1295" width="10.85546875" style="536" customWidth="1"/>
    <col min="1296" max="1296" width="10.28515625" style="536" bestFit="1" customWidth="1"/>
    <col min="1297" max="1542" width="8.85546875" style="536"/>
    <col min="1543" max="1543" width="11.28515625" style="536" bestFit="1" customWidth="1"/>
    <col min="1544" max="1544" width="9.42578125" style="536" bestFit="1" customWidth="1"/>
    <col min="1545" max="1545" width="12.140625" style="536" bestFit="1" customWidth="1"/>
    <col min="1546" max="1546" width="10.28515625" style="536" bestFit="1" customWidth="1"/>
    <col min="1547" max="1547" width="14" style="536" bestFit="1" customWidth="1"/>
    <col min="1548" max="1550" width="8.85546875" style="536"/>
    <col min="1551" max="1551" width="10.85546875" style="536" customWidth="1"/>
    <col min="1552" max="1552" width="10.28515625" style="536" bestFit="1" customWidth="1"/>
    <col min="1553" max="1798" width="8.85546875" style="536"/>
    <col min="1799" max="1799" width="11.28515625" style="536" bestFit="1" customWidth="1"/>
    <col min="1800" max="1800" width="9.42578125" style="536" bestFit="1" customWidth="1"/>
    <col min="1801" max="1801" width="12.140625" style="536" bestFit="1" customWidth="1"/>
    <col min="1802" max="1802" width="10.28515625" style="536" bestFit="1" customWidth="1"/>
    <col min="1803" max="1803" width="14" style="536" bestFit="1" customWidth="1"/>
    <col min="1804" max="1806" width="8.85546875" style="536"/>
    <col min="1807" max="1807" width="10.85546875" style="536" customWidth="1"/>
    <col min="1808" max="1808" width="10.28515625" style="536" bestFit="1" customWidth="1"/>
    <col min="1809" max="2054" width="8.85546875" style="536"/>
    <col min="2055" max="2055" width="11.28515625" style="536" bestFit="1" customWidth="1"/>
    <col min="2056" max="2056" width="9.42578125" style="536" bestFit="1" customWidth="1"/>
    <col min="2057" max="2057" width="12.140625" style="536" bestFit="1" customWidth="1"/>
    <col min="2058" max="2058" width="10.28515625" style="536" bestFit="1" customWidth="1"/>
    <col min="2059" max="2059" width="14" style="536" bestFit="1" customWidth="1"/>
    <col min="2060" max="2062" width="8.85546875" style="536"/>
    <col min="2063" max="2063" width="10.85546875" style="536" customWidth="1"/>
    <col min="2064" max="2064" width="10.28515625" style="536" bestFit="1" customWidth="1"/>
    <col min="2065" max="2310" width="8.85546875" style="536"/>
    <col min="2311" max="2311" width="11.28515625" style="536" bestFit="1" customWidth="1"/>
    <col min="2312" max="2312" width="9.42578125" style="536" bestFit="1" customWidth="1"/>
    <col min="2313" max="2313" width="12.140625" style="536" bestFit="1" customWidth="1"/>
    <col min="2314" max="2314" width="10.28515625" style="536" bestFit="1" customWidth="1"/>
    <col min="2315" max="2315" width="14" style="536" bestFit="1" customWidth="1"/>
    <col min="2316" max="2318" width="8.85546875" style="536"/>
    <col min="2319" max="2319" width="10.85546875" style="536" customWidth="1"/>
    <col min="2320" max="2320" width="10.28515625" style="536" bestFit="1" customWidth="1"/>
    <col min="2321" max="2566" width="8.85546875" style="536"/>
    <col min="2567" max="2567" width="11.28515625" style="536" bestFit="1" customWidth="1"/>
    <col min="2568" max="2568" width="9.42578125" style="536" bestFit="1" customWidth="1"/>
    <col min="2569" max="2569" width="12.140625" style="536" bestFit="1" customWidth="1"/>
    <col min="2570" max="2570" width="10.28515625" style="536" bestFit="1" customWidth="1"/>
    <col min="2571" max="2571" width="14" style="536" bestFit="1" customWidth="1"/>
    <col min="2572" max="2574" width="8.85546875" style="536"/>
    <col min="2575" max="2575" width="10.85546875" style="536" customWidth="1"/>
    <col min="2576" max="2576" width="10.28515625" style="536" bestFit="1" customWidth="1"/>
    <col min="2577" max="2822" width="8.85546875" style="536"/>
    <col min="2823" max="2823" width="11.28515625" style="536" bestFit="1" customWidth="1"/>
    <col min="2824" max="2824" width="9.42578125" style="536" bestFit="1" customWidth="1"/>
    <col min="2825" max="2825" width="12.140625" style="536" bestFit="1" customWidth="1"/>
    <col min="2826" max="2826" width="10.28515625" style="536" bestFit="1" customWidth="1"/>
    <col min="2827" max="2827" width="14" style="536" bestFit="1" customWidth="1"/>
    <col min="2828" max="2830" width="8.85546875" style="536"/>
    <col min="2831" max="2831" width="10.85546875" style="536" customWidth="1"/>
    <col min="2832" max="2832" width="10.28515625" style="536" bestFit="1" customWidth="1"/>
    <col min="2833" max="3078" width="8.85546875" style="536"/>
    <col min="3079" max="3079" width="11.28515625" style="536" bestFit="1" customWidth="1"/>
    <col min="3080" max="3080" width="9.42578125" style="536" bestFit="1" customWidth="1"/>
    <col min="3081" max="3081" width="12.140625" style="536" bestFit="1" customWidth="1"/>
    <col min="3082" max="3082" width="10.28515625" style="536" bestFit="1" customWidth="1"/>
    <col min="3083" max="3083" width="14" style="536" bestFit="1" customWidth="1"/>
    <col min="3084" max="3086" width="8.85546875" style="536"/>
    <col min="3087" max="3087" width="10.85546875" style="536" customWidth="1"/>
    <col min="3088" max="3088" width="10.28515625" style="536" bestFit="1" customWidth="1"/>
    <col min="3089" max="3334" width="8.85546875" style="536"/>
    <col min="3335" max="3335" width="11.28515625" style="536" bestFit="1" customWidth="1"/>
    <col min="3336" max="3336" width="9.42578125" style="536" bestFit="1" customWidth="1"/>
    <col min="3337" max="3337" width="12.140625" style="536" bestFit="1" customWidth="1"/>
    <col min="3338" max="3338" width="10.28515625" style="536" bestFit="1" customWidth="1"/>
    <col min="3339" max="3339" width="14" style="536" bestFit="1" customWidth="1"/>
    <col min="3340" max="3342" width="8.85546875" style="536"/>
    <col min="3343" max="3343" width="10.85546875" style="536" customWidth="1"/>
    <col min="3344" max="3344" width="10.28515625" style="536" bestFit="1" customWidth="1"/>
    <col min="3345" max="3590" width="8.85546875" style="536"/>
    <col min="3591" max="3591" width="11.28515625" style="536" bestFit="1" customWidth="1"/>
    <col min="3592" max="3592" width="9.42578125" style="536" bestFit="1" customWidth="1"/>
    <col min="3593" max="3593" width="12.140625" style="536" bestFit="1" customWidth="1"/>
    <col min="3594" max="3594" width="10.28515625" style="536" bestFit="1" customWidth="1"/>
    <col min="3595" max="3595" width="14" style="536" bestFit="1" customWidth="1"/>
    <col min="3596" max="3598" width="8.85546875" style="536"/>
    <col min="3599" max="3599" width="10.85546875" style="536" customWidth="1"/>
    <col min="3600" max="3600" width="10.28515625" style="536" bestFit="1" customWidth="1"/>
    <col min="3601" max="3846" width="8.85546875" style="536"/>
    <col min="3847" max="3847" width="11.28515625" style="536" bestFit="1" customWidth="1"/>
    <col min="3848" max="3848" width="9.42578125" style="536" bestFit="1" customWidth="1"/>
    <col min="3849" max="3849" width="12.140625" style="536" bestFit="1" customWidth="1"/>
    <col min="3850" max="3850" width="10.28515625" style="536" bestFit="1" customWidth="1"/>
    <col min="3851" max="3851" width="14" style="536" bestFit="1" customWidth="1"/>
    <col min="3852" max="3854" width="8.85546875" style="536"/>
    <col min="3855" max="3855" width="10.85546875" style="536" customWidth="1"/>
    <col min="3856" max="3856" width="10.28515625" style="536" bestFit="1" customWidth="1"/>
    <col min="3857" max="4102" width="8.85546875" style="536"/>
    <col min="4103" max="4103" width="11.28515625" style="536" bestFit="1" customWidth="1"/>
    <col min="4104" max="4104" width="9.42578125" style="536" bestFit="1" customWidth="1"/>
    <col min="4105" max="4105" width="12.140625" style="536" bestFit="1" customWidth="1"/>
    <col min="4106" max="4106" width="10.28515625" style="536" bestFit="1" customWidth="1"/>
    <col min="4107" max="4107" width="14" style="536" bestFit="1" customWidth="1"/>
    <col min="4108" max="4110" width="8.85546875" style="536"/>
    <col min="4111" max="4111" width="10.85546875" style="536" customWidth="1"/>
    <col min="4112" max="4112" width="10.28515625" style="536" bestFit="1" customWidth="1"/>
    <col min="4113" max="4358" width="8.85546875" style="536"/>
    <col min="4359" max="4359" width="11.28515625" style="536" bestFit="1" customWidth="1"/>
    <col min="4360" max="4360" width="9.42578125" style="536" bestFit="1" customWidth="1"/>
    <col min="4361" max="4361" width="12.140625" style="536" bestFit="1" customWidth="1"/>
    <col min="4362" max="4362" width="10.28515625" style="536" bestFit="1" customWidth="1"/>
    <col min="4363" max="4363" width="14" style="536" bestFit="1" customWidth="1"/>
    <col min="4364" max="4366" width="8.85546875" style="536"/>
    <col min="4367" max="4367" width="10.85546875" style="536" customWidth="1"/>
    <col min="4368" max="4368" width="10.28515625" style="536" bestFit="1" customWidth="1"/>
    <col min="4369" max="4614" width="8.85546875" style="536"/>
    <col min="4615" max="4615" width="11.28515625" style="536" bestFit="1" customWidth="1"/>
    <col min="4616" max="4616" width="9.42578125" style="536" bestFit="1" customWidth="1"/>
    <col min="4617" max="4617" width="12.140625" style="536" bestFit="1" customWidth="1"/>
    <col min="4618" max="4618" width="10.28515625" style="536" bestFit="1" customWidth="1"/>
    <col min="4619" max="4619" width="14" style="536" bestFit="1" customWidth="1"/>
    <col min="4620" max="4622" width="8.85546875" style="536"/>
    <col min="4623" max="4623" width="10.85546875" style="536" customWidth="1"/>
    <col min="4624" max="4624" width="10.28515625" style="536" bestFit="1" customWidth="1"/>
    <col min="4625" max="4870" width="8.85546875" style="536"/>
    <col min="4871" max="4871" width="11.28515625" style="536" bestFit="1" customWidth="1"/>
    <col min="4872" max="4872" width="9.42578125" style="536" bestFit="1" customWidth="1"/>
    <col min="4873" max="4873" width="12.140625" style="536" bestFit="1" customWidth="1"/>
    <col min="4874" max="4874" width="10.28515625" style="536" bestFit="1" customWidth="1"/>
    <col min="4875" max="4875" width="14" style="536" bestFit="1" customWidth="1"/>
    <col min="4876" max="4878" width="8.85546875" style="536"/>
    <col min="4879" max="4879" width="10.85546875" style="536" customWidth="1"/>
    <col min="4880" max="4880" width="10.28515625" style="536" bestFit="1" customWidth="1"/>
    <col min="4881" max="5126" width="8.85546875" style="536"/>
    <col min="5127" max="5127" width="11.28515625" style="536" bestFit="1" customWidth="1"/>
    <col min="5128" max="5128" width="9.42578125" style="536" bestFit="1" customWidth="1"/>
    <col min="5129" max="5129" width="12.140625" style="536" bestFit="1" customWidth="1"/>
    <col min="5130" max="5130" width="10.28515625" style="536" bestFit="1" customWidth="1"/>
    <col min="5131" max="5131" width="14" style="536" bestFit="1" customWidth="1"/>
    <col min="5132" max="5134" width="8.85546875" style="536"/>
    <col min="5135" max="5135" width="10.85546875" style="536" customWidth="1"/>
    <col min="5136" max="5136" width="10.28515625" style="536" bestFit="1" customWidth="1"/>
    <col min="5137" max="5382" width="8.85546875" style="536"/>
    <col min="5383" max="5383" width="11.28515625" style="536" bestFit="1" customWidth="1"/>
    <col min="5384" max="5384" width="9.42578125" style="536" bestFit="1" customWidth="1"/>
    <col min="5385" max="5385" width="12.140625" style="536" bestFit="1" customWidth="1"/>
    <col min="5386" max="5386" width="10.28515625" style="536" bestFit="1" customWidth="1"/>
    <col min="5387" max="5387" width="14" style="536" bestFit="1" customWidth="1"/>
    <col min="5388" max="5390" width="8.85546875" style="536"/>
    <col min="5391" max="5391" width="10.85546875" style="536" customWidth="1"/>
    <col min="5392" max="5392" width="10.28515625" style="536" bestFit="1" customWidth="1"/>
    <col min="5393" max="5638" width="8.85546875" style="536"/>
    <col min="5639" max="5639" width="11.28515625" style="536" bestFit="1" customWidth="1"/>
    <col min="5640" max="5640" width="9.42578125" style="536" bestFit="1" customWidth="1"/>
    <col min="5641" max="5641" width="12.140625" style="536" bestFit="1" customWidth="1"/>
    <col min="5642" max="5642" width="10.28515625" style="536" bestFit="1" customWidth="1"/>
    <col min="5643" max="5643" width="14" style="536" bestFit="1" customWidth="1"/>
    <col min="5644" max="5646" width="8.85546875" style="536"/>
    <col min="5647" max="5647" width="10.85546875" style="536" customWidth="1"/>
    <col min="5648" max="5648" width="10.28515625" style="536" bestFit="1" customWidth="1"/>
    <col min="5649" max="5894" width="8.85546875" style="536"/>
    <col min="5895" max="5895" width="11.28515625" style="536" bestFit="1" customWidth="1"/>
    <col min="5896" max="5896" width="9.42578125" style="536" bestFit="1" customWidth="1"/>
    <col min="5897" max="5897" width="12.140625" style="536" bestFit="1" customWidth="1"/>
    <col min="5898" max="5898" width="10.28515625" style="536" bestFit="1" customWidth="1"/>
    <col min="5899" max="5899" width="14" style="536" bestFit="1" customWidth="1"/>
    <col min="5900" max="5902" width="8.85546875" style="536"/>
    <col min="5903" max="5903" width="10.85546875" style="536" customWidth="1"/>
    <col min="5904" max="5904" width="10.28515625" style="536" bestFit="1" customWidth="1"/>
    <col min="5905" max="6150" width="8.85546875" style="536"/>
    <col min="6151" max="6151" width="11.28515625" style="536" bestFit="1" customWidth="1"/>
    <col min="6152" max="6152" width="9.42578125" style="536" bestFit="1" customWidth="1"/>
    <col min="6153" max="6153" width="12.140625" style="536" bestFit="1" customWidth="1"/>
    <col min="6154" max="6154" width="10.28515625" style="536" bestFit="1" customWidth="1"/>
    <col min="6155" max="6155" width="14" style="536" bestFit="1" customWidth="1"/>
    <col min="6156" max="6158" width="8.85546875" style="536"/>
    <col min="6159" max="6159" width="10.85546875" style="536" customWidth="1"/>
    <col min="6160" max="6160" width="10.28515625" style="536" bestFit="1" customWidth="1"/>
    <col min="6161" max="6406" width="8.85546875" style="536"/>
    <col min="6407" max="6407" width="11.28515625" style="536" bestFit="1" customWidth="1"/>
    <col min="6408" max="6408" width="9.42578125" style="536" bestFit="1" customWidth="1"/>
    <col min="6409" max="6409" width="12.140625" style="536" bestFit="1" customWidth="1"/>
    <col min="6410" max="6410" width="10.28515625" style="536" bestFit="1" customWidth="1"/>
    <col min="6411" max="6411" width="14" style="536" bestFit="1" customWidth="1"/>
    <col min="6412" max="6414" width="8.85546875" style="536"/>
    <col min="6415" max="6415" width="10.85546875" style="536" customWidth="1"/>
    <col min="6416" max="6416" width="10.28515625" style="536" bestFit="1" customWidth="1"/>
    <col min="6417" max="6662" width="8.85546875" style="536"/>
    <col min="6663" max="6663" width="11.28515625" style="536" bestFit="1" customWidth="1"/>
    <col min="6664" max="6664" width="9.42578125" style="536" bestFit="1" customWidth="1"/>
    <col min="6665" max="6665" width="12.140625" style="536" bestFit="1" customWidth="1"/>
    <col min="6666" max="6666" width="10.28515625" style="536" bestFit="1" customWidth="1"/>
    <col min="6667" max="6667" width="14" style="536" bestFit="1" customWidth="1"/>
    <col min="6668" max="6670" width="8.85546875" style="536"/>
    <col min="6671" max="6671" width="10.85546875" style="536" customWidth="1"/>
    <col min="6672" max="6672" width="10.28515625" style="536" bestFit="1" customWidth="1"/>
    <col min="6673" max="6918" width="8.85546875" style="536"/>
    <col min="6919" max="6919" width="11.28515625" style="536" bestFit="1" customWidth="1"/>
    <col min="6920" max="6920" width="9.42578125" style="536" bestFit="1" customWidth="1"/>
    <col min="6921" max="6921" width="12.140625" style="536" bestFit="1" customWidth="1"/>
    <col min="6922" max="6922" width="10.28515625" style="536" bestFit="1" customWidth="1"/>
    <col min="6923" max="6923" width="14" style="536" bestFit="1" customWidth="1"/>
    <col min="6924" max="6926" width="8.85546875" style="536"/>
    <col min="6927" max="6927" width="10.85546875" style="536" customWidth="1"/>
    <col min="6928" max="6928" width="10.28515625" style="536" bestFit="1" customWidth="1"/>
    <col min="6929" max="7174" width="8.85546875" style="536"/>
    <col min="7175" max="7175" width="11.28515625" style="536" bestFit="1" customWidth="1"/>
    <col min="7176" max="7176" width="9.42578125" style="536" bestFit="1" customWidth="1"/>
    <col min="7177" max="7177" width="12.140625" style="536" bestFit="1" customWidth="1"/>
    <col min="7178" max="7178" width="10.28515625" style="536" bestFit="1" customWidth="1"/>
    <col min="7179" max="7179" width="14" style="536" bestFit="1" customWidth="1"/>
    <col min="7180" max="7182" width="8.85546875" style="536"/>
    <col min="7183" max="7183" width="10.85546875" style="536" customWidth="1"/>
    <col min="7184" max="7184" width="10.28515625" style="536" bestFit="1" customWidth="1"/>
    <col min="7185" max="7430" width="8.85546875" style="536"/>
    <col min="7431" max="7431" width="11.28515625" style="536" bestFit="1" customWidth="1"/>
    <col min="7432" max="7432" width="9.42578125" style="536" bestFit="1" customWidth="1"/>
    <col min="7433" max="7433" width="12.140625" style="536" bestFit="1" customWidth="1"/>
    <col min="7434" max="7434" width="10.28515625" style="536" bestFit="1" customWidth="1"/>
    <col min="7435" max="7435" width="14" style="536" bestFit="1" customWidth="1"/>
    <col min="7436" max="7438" width="8.85546875" style="536"/>
    <col min="7439" max="7439" width="10.85546875" style="536" customWidth="1"/>
    <col min="7440" max="7440" width="10.28515625" style="536" bestFit="1" customWidth="1"/>
    <col min="7441" max="7686" width="8.85546875" style="536"/>
    <col min="7687" max="7687" width="11.28515625" style="536" bestFit="1" customWidth="1"/>
    <col min="7688" max="7688" width="9.42578125" style="536" bestFit="1" customWidth="1"/>
    <col min="7689" max="7689" width="12.140625" style="536" bestFit="1" customWidth="1"/>
    <col min="7690" max="7690" width="10.28515625" style="536" bestFit="1" customWidth="1"/>
    <col min="7691" max="7691" width="14" style="536" bestFit="1" customWidth="1"/>
    <col min="7692" max="7694" width="8.85546875" style="536"/>
    <col min="7695" max="7695" width="10.85546875" style="536" customWidth="1"/>
    <col min="7696" max="7696" width="10.28515625" style="536" bestFit="1" customWidth="1"/>
    <col min="7697" max="7942" width="8.85546875" style="536"/>
    <col min="7943" max="7943" width="11.28515625" style="536" bestFit="1" customWidth="1"/>
    <col min="7944" max="7944" width="9.42578125" style="536" bestFit="1" customWidth="1"/>
    <col min="7945" max="7945" width="12.140625" style="536" bestFit="1" customWidth="1"/>
    <col min="7946" max="7946" width="10.28515625" style="536" bestFit="1" customWidth="1"/>
    <col min="7947" max="7947" width="14" style="536" bestFit="1" customWidth="1"/>
    <col min="7948" max="7950" width="8.85546875" style="536"/>
    <col min="7951" max="7951" width="10.85546875" style="536" customWidth="1"/>
    <col min="7952" max="7952" width="10.28515625" style="536" bestFit="1" customWidth="1"/>
    <col min="7953" max="8198" width="8.85546875" style="536"/>
    <col min="8199" max="8199" width="11.28515625" style="536" bestFit="1" customWidth="1"/>
    <col min="8200" max="8200" width="9.42578125" style="536" bestFit="1" customWidth="1"/>
    <col min="8201" max="8201" width="12.140625" style="536" bestFit="1" customWidth="1"/>
    <col min="8202" max="8202" width="10.28515625" style="536" bestFit="1" customWidth="1"/>
    <col min="8203" max="8203" width="14" style="536" bestFit="1" customWidth="1"/>
    <col min="8204" max="8206" width="8.85546875" style="536"/>
    <col min="8207" max="8207" width="10.85546875" style="536" customWidth="1"/>
    <col min="8208" max="8208" width="10.28515625" style="536" bestFit="1" customWidth="1"/>
    <col min="8209" max="8454" width="8.85546875" style="536"/>
    <col min="8455" max="8455" width="11.28515625" style="536" bestFit="1" customWidth="1"/>
    <col min="8456" max="8456" width="9.42578125" style="536" bestFit="1" customWidth="1"/>
    <col min="8457" max="8457" width="12.140625" style="536" bestFit="1" customWidth="1"/>
    <col min="8458" max="8458" width="10.28515625" style="536" bestFit="1" customWidth="1"/>
    <col min="8459" max="8459" width="14" style="536" bestFit="1" customWidth="1"/>
    <col min="8460" max="8462" width="8.85546875" style="536"/>
    <col min="8463" max="8463" width="10.85546875" style="536" customWidth="1"/>
    <col min="8464" max="8464" width="10.28515625" style="536" bestFit="1" customWidth="1"/>
    <col min="8465" max="8710" width="8.85546875" style="536"/>
    <col min="8711" max="8711" width="11.28515625" style="536" bestFit="1" customWidth="1"/>
    <col min="8712" max="8712" width="9.42578125" style="536" bestFit="1" customWidth="1"/>
    <col min="8713" max="8713" width="12.140625" style="536" bestFit="1" customWidth="1"/>
    <col min="8714" max="8714" width="10.28515625" style="536" bestFit="1" customWidth="1"/>
    <col min="8715" max="8715" width="14" style="536" bestFit="1" customWidth="1"/>
    <col min="8716" max="8718" width="8.85546875" style="536"/>
    <col min="8719" max="8719" width="10.85546875" style="536" customWidth="1"/>
    <col min="8720" max="8720" width="10.28515625" style="536" bestFit="1" customWidth="1"/>
    <col min="8721" max="8966" width="8.85546875" style="536"/>
    <col min="8967" max="8967" width="11.28515625" style="536" bestFit="1" customWidth="1"/>
    <col min="8968" max="8968" width="9.42578125" style="536" bestFit="1" customWidth="1"/>
    <col min="8969" max="8969" width="12.140625" style="536" bestFit="1" customWidth="1"/>
    <col min="8970" max="8970" width="10.28515625" style="536" bestFit="1" customWidth="1"/>
    <col min="8971" max="8971" width="14" style="536" bestFit="1" customWidth="1"/>
    <col min="8972" max="8974" width="8.85546875" style="536"/>
    <col min="8975" max="8975" width="10.85546875" style="536" customWidth="1"/>
    <col min="8976" max="8976" width="10.28515625" style="536" bestFit="1" customWidth="1"/>
    <col min="8977" max="9222" width="8.85546875" style="536"/>
    <col min="9223" max="9223" width="11.28515625" style="536" bestFit="1" customWidth="1"/>
    <col min="9224" max="9224" width="9.42578125" style="536" bestFit="1" customWidth="1"/>
    <col min="9225" max="9225" width="12.140625" style="536" bestFit="1" customWidth="1"/>
    <col min="9226" max="9226" width="10.28515625" style="536" bestFit="1" customWidth="1"/>
    <col min="9227" max="9227" width="14" style="536" bestFit="1" customWidth="1"/>
    <col min="9228" max="9230" width="8.85546875" style="536"/>
    <col min="9231" max="9231" width="10.85546875" style="536" customWidth="1"/>
    <col min="9232" max="9232" width="10.28515625" style="536" bestFit="1" customWidth="1"/>
    <col min="9233" max="9478" width="8.85546875" style="536"/>
    <col min="9479" max="9479" width="11.28515625" style="536" bestFit="1" customWidth="1"/>
    <col min="9480" max="9480" width="9.42578125" style="536" bestFit="1" customWidth="1"/>
    <col min="9481" max="9481" width="12.140625" style="536" bestFit="1" customWidth="1"/>
    <col min="9482" max="9482" width="10.28515625" style="536" bestFit="1" customWidth="1"/>
    <col min="9483" max="9483" width="14" style="536" bestFit="1" customWidth="1"/>
    <col min="9484" max="9486" width="8.85546875" style="536"/>
    <col min="9487" max="9487" width="10.85546875" style="536" customWidth="1"/>
    <col min="9488" max="9488" width="10.28515625" style="536" bestFit="1" customWidth="1"/>
    <col min="9489" max="9734" width="8.85546875" style="536"/>
    <col min="9735" max="9735" width="11.28515625" style="536" bestFit="1" customWidth="1"/>
    <col min="9736" max="9736" width="9.42578125" style="536" bestFit="1" customWidth="1"/>
    <col min="9737" max="9737" width="12.140625" style="536" bestFit="1" customWidth="1"/>
    <col min="9738" max="9738" width="10.28515625" style="536" bestFit="1" customWidth="1"/>
    <col min="9739" max="9739" width="14" style="536" bestFit="1" customWidth="1"/>
    <col min="9740" max="9742" width="8.85546875" style="536"/>
    <col min="9743" max="9743" width="10.85546875" style="536" customWidth="1"/>
    <col min="9744" max="9744" width="10.28515625" style="536" bestFit="1" customWidth="1"/>
    <col min="9745" max="9990" width="8.85546875" style="536"/>
    <col min="9991" max="9991" width="11.28515625" style="536" bestFit="1" customWidth="1"/>
    <col min="9992" max="9992" width="9.42578125" style="536" bestFit="1" customWidth="1"/>
    <col min="9993" max="9993" width="12.140625" style="536" bestFit="1" customWidth="1"/>
    <col min="9994" max="9994" width="10.28515625" style="536" bestFit="1" customWidth="1"/>
    <col min="9995" max="9995" width="14" style="536" bestFit="1" customWidth="1"/>
    <col min="9996" max="9998" width="8.85546875" style="536"/>
    <col min="9999" max="9999" width="10.85546875" style="536" customWidth="1"/>
    <col min="10000" max="10000" width="10.28515625" style="536" bestFit="1" customWidth="1"/>
    <col min="10001" max="10246" width="8.85546875" style="536"/>
    <col min="10247" max="10247" width="11.28515625" style="536" bestFit="1" customWidth="1"/>
    <col min="10248" max="10248" width="9.42578125" style="536" bestFit="1" customWidth="1"/>
    <col min="10249" max="10249" width="12.140625" style="536" bestFit="1" customWidth="1"/>
    <col min="10250" max="10250" width="10.28515625" style="536" bestFit="1" customWidth="1"/>
    <col min="10251" max="10251" width="14" style="536" bestFit="1" customWidth="1"/>
    <col min="10252" max="10254" width="8.85546875" style="536"/>
    <col min="10255" max="10255" width="10.85546875" style="536" customWidth="1"/>
    <col min="10256" max="10256" width="10.28515625" style="536" bestFit="1" customWidth="1"/>
    <col min="10257" max="10502" width="8.85546875" style="536"/>
    <col min="10503" max="10503" width="11.28515625" style="536" bestFit="1" customWidth="1"/>
    <col min="10504" max="10504" width="9.42578125" style="536" bestFit="1" customWidth="1"/>
    <col min="10505" max="10505" width="12.140625" style="536" bestFit="1" customWidth="1"/>
    <col min="10506" max="10506" width="10.28515625" style="536" bestFit="1" customWidth="1"/>
    <col min="10507" max="10507" width="14" style="536" bestFit="1" customWidth="1"/>
    <col min="10508" max="10510" width="8.85546875" style="536"/>
    <col min="10511" max="10511" width="10.85546875" style="536" customWidth="1"/>
    <col min="10512" max="10512" width="10.28515625" style="536" bestFit="1" customWidth="1"/>
    <col min="10513" max="10758" width="8.85546875" style="536"/>
    <col min="10759" max="10759" width="11.28515625" style="536" bestFit="1" customWidth="1"/>
    <col min="10760" max="10760" width="9.42578125" style="536" bestFit="1" customWidth="1"/>
    <col min="10761" max="10761" width="12.140625" style="536" bestFit="1" customWidth="1"/>
    <col min="10762" max="10762" width="10.28515625" style="536" bestFit="1" customWidth="1"/>
    <col min="10763" max="10763" width="14" style="536" bestFit="1" customWidth="1"/>
    <col min="10764" max="10766" width="8.85546875" style="536"/>
    <col min="10767" max="10767" width="10.85546875" style="536" customWidth="1"/>
    <col min="10768" max="10768" width="10.28515625" style="536" bestFit="1" customWidth="1"/>
    <col min="10769" max="11014" width="8.85546875" style="536"/>
    <col min="11015" max="11015" width="11.28515625" style="536" bestFit="1" customWidth="1"/>
    <col min="11016" max="11016" width="9.42578125" style="536" bestFit="1" customWidth="1"/>
    <col min="11017" max="11017" width="12.140625" style="536" bestFit="1" customWidth="1"/>
    <col min="11018" max="11018" width="10.28515625" style="536" bestFit="1" customWidth="1"/>
    <col min="11019" max="11019" width="14" style="536" bestFit="1" customWidth="1"/>
    <col min="11020" max="11022" width="8.85546875" style="536"/>
    <col min="11023" max="11023" width="10.85546875" style="536" customWidth="1"/>
    <col min="11024" max="11024" width="10.28515625" style="536" bestFit="1" customWidth="1"/>
    <col min="11025" max="11270" width="8.85546875" style="536"/>
    <col min="11271" max="11271" width="11.28515625" style="536" bestFit="1" customWidth="1"/>
    <col min="11272" max="11272" width="9.42578125" style="536" bestFit="1" customWidth="1"/>
    <col min="11273" max="11273" width="12.140625" style="536" bestFit="1" customWidth="1"/>
    <col min="11274" max="11274" width="10.28515625" style="536" bestFit="1" customWidth="1"/>
    <col min="11275" max="11275" width="14" style="536" bestFit="1" customWidth="1"/>
    <col min="11276" max="11278" width="8.85546875" style="536"/>
    <col min="11279" max="11279" width="10.85546875" style="536" customWidth="1"/>
    <col min="11280" max="11280" width="10.28515625" style="536" bestFit="1" customWidth="1"/>
    <col min="11281" max="11526" width="8.85546875" style="536"/>
    <col min="11527" max="11527" width="11.28515625" style="536" bestFit="1" customWidth="1"/>
    <col min="11528" max="11528" width="9.42578125" style="536" bestFit="1" customWidth="1"/>
    <col min="11529" max="11529" width="12.140625" style="536" bestFit="1" customWidth="1"/>
    <col min="11530" max="11530" width="10.28515625" style="536" bestFit="1" customWidth="1"/>
    <col min="11531" max="11531" width="14" style="536" bestFit="1" customWidth="1"/>
    <col min="11532" max="11534" width="8.85546875" style="536"/>
    <col min="11535" max="11535" width="10.85546875" style="536" customWidth="1"/>
    <col min="11536" max="11536" width="10.28515625" style="536" bestFit="1" customWidth="1"/>
    <col min="11537" max="11782" width="8.85546875" style="536"/>
    <col min="11783" max="11783" width="11.28515625" style="536" bestFit="1" customWidth="1"/>
    <col min="11784" max="11784" width="9.42578125" style="536" bestFit="1" customWidth="1"/>
    <col min="11785" max="11785" width="12.140625" style="536" bestFit="1" customWidth="1"/>
    <col min="11786" max="11786" width="10.28515625" style="536" bestFit="1" customWidth="1"/>
    <col min="11787" max="11787" width="14" style="536" bestFit="1" customWidth="1"/>
    <col min="11788" max="11790" width="8.85546875" style="536"/>
    <col min="11791" max="11791" width="10.85546875" style="536" customWidth="1"/>
    <col min="11792" max="11792" width="10.28515625" style="536" bestFit="1" customWidth="1"/>
    <col min="11793" max="12038" width="8.85546875" style="536"/>
    <col min="12039" max="12039" width="11.28515625" style="536" bestFit="1" customWidth="1"/>
    <col min="12040" max="12040" width="9.42578125" style="536" bestFit="1" customWidth="1"/>
    <col min="12041" max="12041" width="12.140625" style="536" bestFit="1" customWidth="1"/>
    <col min="12042" max="12042" width="10.28515625" style="536" bestFit="1" customWidth="1"/>
    <col min="12043" max="12043" width="14" style="536" bestFit="1" customWidth="1"/>
    <col min="12044" max="12046" width="8.85546875" style="536"/>
    <col min="12047" max="12047" width="10.85546875" style="536" customWidth="1"/>
    <col min="12048" max="12048" width="10.28515625" style="536" bestFit="1" customWidth="1"/>
    <col min="12049" max="12294" width="8.85546875" style="536"/>
    <col min="12295" max="12295" width="11.28515625" style="536" bestFit="1" customWidth="1"/>
    <col min="12296" max="12296" width="9.42578125" style="536" bestFit="1" customWidth="1"/>
    <col min="12297" max="12297" width="12.140625" style="536" bestFit="1" customWidth="1"/>
    <col min="12298" max="12298" width="10.28515625" style="536" bestFit="1" customWidth="1"/>
    <col min="12299" max="12299" width="14" style="536" bestFit="1" customWidth="1"/>
    <col min="12300" max="12302" width="8.85546875" style="536"/>
    <col min="12303" max="12303" width="10.85546875" style="536" customWidth="1"/>
    <col min="12304" max="12304" width="10.28515625" style="536" bestFit="1" customWidth="1"/>
    <col min="12305" max="12550" width="8.85546875" style="536"/>
    <col min="12551" max="12551" width="11.28515625" style="536" bestFit="1" customWidth="1"/>
    <col min="12552" max="12552" width="9.42578125" style="536" bestFit="1" customWidth="1"/>
    <col min="12553" max="12553" width="12.140625" style="536" bestFit="1" customWidth="1"/>
    <col min="12554" max="12554" width="10.28515625" style="536" bestFit="1" customWidth="1"/>
    <col min="12555" max="12555" width="14" style="536" bestFit="1" customWidth="1"/>
    <col min="12556" max="12558" width="8.85546875" style="536"/>
    <col min="12559" max="12559" width="10.85546875" style="536" customWidth="1"/>
    <col min="12560" max="12560" width="10.28515625" style="536" bestFit="1" customWidth="1"/>
    <col min="12561" max="12806" width="8.85546875" style="536"/>
    <col min="12807" max="12807" width="11.28515625" style="536" bestFit="1" customWidth="1"/>
    <col min="12808" max="12808" width="9.42578125" style="536" bestFit="1" customWidth="1"/>
    <col min="12809" max="12809" width="12.140625" style="536" bestFit="1" customWidth="1"/>
    <col min="12810" max="12810" width="10.28515625" style="536" bestFit="1" customWidth="1"/>
    <col min="12811" max="12811" width="14" style="536" bestFit="1" customWidth="1"/>
    <col min="12812" max="12814" width="8.85546875" style="536"/>
    <col min="12815" max="12815" width="10.85546875" style="536" customWidth="1"/>
    <col min="12816" max="12816" width="10.28515625" style="536" bestFit="1" customWidth="1"/>
    <col min="12817" max="13062" width="8.85546875" style="536"/>
    <col min="13063" max="13063" width="11.28515625" style="536" bestFit="1" customWidth="1"/>
    <col min="13064" max="13064" width="9.42578125" style="536" bestFit="1" customWidth="1"/>
    <col min="13065" max="13065" width="12.140625" style="536" bestFit="1" customWidth="1"/>
    <col min="13066" max="13066" width="10.28515625" style="536" bestFit="1" customWidth="1"/>
    <col min="13067" max="13067" width="14" style="536" bestFit="1" customWidth="1"/>
    <col min="13068" max="13070" width="8.85546875" style="536"/>
    <col min="13071" max="13071" width="10.85546875" style="536" customWidth="1"/>
    <col min="13072" max="13072" width="10.28515625" style="536" bestFit="1" customWidth="1"/>
    <col min="13073" max="13318" width="8.85546875" style="536"/>
    <col min="13319" max="13319" width="11.28515625" style="536" bestFit="1" customWidth="1"/>
    <col min="13320" max="13320" width="9.42578125" style="536" bestFit="1" customWidth="1"/>
    <col min="13321" max="13321" width="12.140625" style="536" bestFit="1" customWidth="1"/>
    <col min="13322" max="13322" width="10.28515625" style="536" bestFit="1" customWidth="1"/>
    <col min="13323" max="13323" width="14" style="536" bestFit="1" customWidth="1"/>
    <col min="13324" max="13326" width="8.85546875" style="536"/>
    <col min="13327" max="13327" width="10.85546875" style="536" customWidth="1"/>
    <col min="13328" max="13328" width="10.28515625" style="536" bestFit="1" customWidth="1"/>
    <col min="13329" max="13574" width="8.85546875" style="536"/>
    <col min="13575" max="13575" width="11.28515625" style="536" bestFit="1" customWidth="1"/>
    <col min="13576" max="13576" width="9.42578125" style="536" bestFit="1" customWidth="1"/>
    <col min="13577" max="13577" width="12.140625" style="536" bestFit="1" customWidth="1"/>
    <col min="13578" max="13578" width="10.28515625" style="536" bestFit="1" customWidth="1"/>
    <col min="13579" max="13579" width="14" style="536" bestFit="1" customWidth="1"/>
    <col min="13580" max="13582" width="8.85546875" style="536"/>
    <col min="13583" max="13583" width="10.85546875" style="536" customWidth="1"/>
    <col min="13584" max="13584" width="10.28515625" style="536" bestFit="1" customWidth="1"/>
    <col min="13585" max="13830" width="8.85546875" style="536"/>
    <col min="13831" max="13831" width="11.28515625" style="536" bestFit="1" customWidth="1"/>
    <col min="13832" max="13832" width="9.42578125" style="536" bestFit="1" customWidth="1"/>
    <col min="13833" max="13833" width="12.140625" style="536" bestFit="1" customWidth="1"/>
    <col min="13834" max="13834" width="10.28515625" style="536" bestFit="1" customWidth="1"/>
    <col min="13835" max="13835" width="14" style="536" bestFit="1" customWidth="1"/>
    <col min="13836" max="13838" width="8.85546875" style="536"/>
    <col min="13839" max="13839" width="10.85546875" style="536" customWidth="1"/>
    <col min="13840" max="13840" width="10.28515625" style="536" bestFit="1" customWidth="1"/>
    <col min="13841" max="14086" width="8.85546875" style="536"/>
    <col min="14087" max="14087" width="11.28515625" style="536" bestFit="1" customWidth="1"/>
    <col min="14088" max="14088" width="9.42578125" style="536" bestFit="1" customWidth="1"/>
    <col min="14089" max="14089" width="12.140625" style="536" bestFit="1" customWidth="1"/>
    <col min="14090" max="14090" width="10.28515625" style="536" bestFit="1" customWidth="1"/>
    <col min="14091" max="14091" width="14" style="536" bestFit="1" customWidth="1"/>
    <col min="14092" max="14094" width="8.85546875" style="536"/>
    <col min="14095" max="14095" width="10.85546875" style="536" customWidth="1"/>
    <col min="14096" max="14096" width="10.28515625" style="536" bestFit="1" customWidth="1"/>
    <col min="14097" max="14342" width="8.85546875" style="536"/>
    <col min="14343" max="14343" width="11.28515625" style="536" bestFit="1" customWidth="1"/>
    <col min="14344" max="14344" width="9.42578125" style="536" bestFit="1" customWidth="1"/>
    <col min="14345" max="14345" width="12.140625" style="536" bestFit="1" customWidth="1"/>
    <col min="14346" max="14346" width="10.28515625" style="536" bestFit="1" customWidth="1"/>
    <col min="14347" max="14347" width="14" style="536" bestFit="1" customWidth="1"/>
    <col min="14348" max="14350" width="8.85546875" style="536"/>
    <col min="14351" max="14351" width="10.85546875" style="536" customWidth="1"/>
    <col min="14352" max="14352" width="10.28515625" style="536" bestFit="1" customWidth="1"/>
    <col min="14353" max="14598" width="8.85546875" style="536"/>
    <col min="14599" max="14599" width="11.28515625" style="536" bestFit="1" customWidth="1"/>
    <col min="14600" max="14600" width="9.42578125" style="536" bestFit="1" customWidth="1"/>
    <col min="14601" max="14601" width="12.140625" style="536" bestFit="1" customWidth="1"/>
    <col min="14602" max="14602" width="10.28515625" style="536" bestFit="1" customWidth="1"/>
    <col min="14603" max="14603" width="14" style="536" bestFit="1" customWidth="1"/>
    <col min="14604" max="14606" width="8.85546875" style="536"/>
    <col min="14607" max="14607" width="10.85546875" style="536" customWidth="1"/>
    <col min="14608" max="14608" width="10.28515625" style="536" bestFit="1" customWidth="1"/>
    <col min="14609" max="14854" width="8.85546875" style="536"/>
    <col min="14855" max="14855" width="11.28515625" style="536" bestFit="1" customWidth="1"/>
    <col min="14856" max="14856" width="9.42578125" style="536" bestFit="1" customWidth="1"/>
    <col min="14857" max="14857" width="12.140625" style="536" bestFit="1" customWidth="1"/>
    <col min="14858" max="14858" width="10.28515625" style="536" bestFit="1" customWidth="1"/>
    <col min="14859" max="14859" width="14" style="536" bestFit="1" customWidth="1"/>
    <col min="14860" max="14862" width="8.85546875" style="536"/>
    <col min="14863" max="14863" width="10.85546875" style="536" customWidth="1"/>
    <col min="14864" max="14864" width="10.28515625" style="536" bestFit="1" customWidth="1"/>
    <col min="14865" max="15110" width="8.85546875" style="536"/>
    <col min="15111" max="15111" width="11.28515625" style="536" bestFit="1" customWidth="1"/>
    <col min="15112" max="15112" width="9.42578125" style="536" bestFit="1" customWidth="1"/>
    <col min="15113" max="15113" width="12.140625" style="536" bestFit="1" customWidth="1"/>
    <col min="15114" max="15114" width="10.28515625" style="536" bestFit="1" customWidth="1"/>
    <col min="15115" max="15115" width="14" style="536" bestFit="1" customWidth="1"/>
    <col min="15116" max="15118" width="8.85546875" style="536"/>
    <col min="15119" max="15119" width="10.85546875" style="536" customWidth="1"/>
    <col min="15120" max="15120" width="10.28515625" style="536" bestFit="1" customWidth="1"/>
    <col min="15121" max="15366" width="8.85546875" style="536"/>
    <col min="15367" max="15367" width="11.28515625" style="536" bestFit="1" customWidth="1"/>
    <col min="15368" max="15368" width="9.42578125" style="536" bestFit="1" customWidth="1"/>
    <col min="15369" max="15369" width="12.140625" style="536" bestFit="1" customWidth="1"/>
    <col min="15370" max="15370" width="10.28515625" style="536" bestFit="1" customWidth="1"/>
    <col min="15371" max="15371" width="14" style="536" bestFit="1" customWidth="1"/>
    <col min="15372" max="15374" width="8.85546875" style="536"/>
    <col min="15375" max="15375" width="10.85546875" style="536" customWidth="1"/>
    <col min="15376" max="15376" width="10.28515625" style="536" bestFit="1" customWidth="1"/>
    <col min="15377" max="15622" width="8.85546875" style="536"/>
    <col min="15623" max="15623" width="11.28515625" style="536" bestFit="1" customWidth="1"/>
    <col min="15624" max="15624" width="9.42578125" style="536" bestFit="1" customWidth="1"/>
    <col min="15625" max="15625" width="12.140625" style="536" bestFit="1" customWidth="1"/>
    <col min="15626" max="15626" width="10.28515625" style="536" bestFit="1" customWidth="1"/>
    <col min="15627" max="15627" width="14" style="536" bestFit="1" customWidth="1"/>
    <col min="15628" max="15630" width="8.85546875" style="536"/>
    <col min="15631" max="15631" width="10.85546875" style="536" customWidth="1"/>
    <col min="15632" max="15632" width="10.28515625" style="536" bestFit="1" customWidth="1"/>
    <col min="15633" max="15878" width="8.85546875" style="536"/>
    <col min="15879" max="15879" width="11.28515625" style="536" bestFit="1" customWidth="1"/>
    <col min="15880" max="15880" width="9.42578125" style="536" bestFit="1" customWidth="1"/>
    <col min="15881" max="15881" width="12.140625" style="536" bestFit="1" customWidth="1"/>
    <col min="15882" max="15882" width="10.28515625" style="536" bestFit="1" customWidth="1"/>
    <col min="15883" max="15883" width="14" style="536" bestFit="1" customWidth="1"/>
    <col min="15884" max="15886" width="8.85546875" style="536"/>
    <col min="15887" max="15887" width="10.85546875" style="536" customWidth="1"/>
    <col min="15888" max="15888" width="10.28515625" style="536" bestFit="1" customWidth="1"/>
    <col min="15889" max="16134" width="8.85546875" style="536"/>
    <col min="16135" max="16135" width="11.28515625" style="536" bestFit="1" customWidth="1"/>
    <col min="16136" max="16136" width="9.42578125" style="536" bestFit="1" customWidth="1"/>
    <col min="16137" max="16137" width="12.140625" style="536" bestFit="1" customWidth="1"/>
    <col min="16138" max="16138" width="10.28515625" style="536" bestFit="1" customWidth="1"/>
    <col min="16139" max="16139" width="14" style="536" bestFit="1" customWidth="1"/>
    <col min="16140" max="16142" width="8.85546875" style="536"/>
    <col min="16143" max="16143" width="10.85546875" style="536" customWidth="1"/>
    <col min="16144" max="16144" width="10.28515625" style="536" bestFit="1" customWidth="1"/>
    <col min="16145" max="16384" width="8.85546875" style="536"/>
  </cols>
  <sheetData>
    <row r="1" spans="1:16" ht="15">
      <c r="A1" s="563" t="s">
        <v>51</v>
      </c>
      <c r="B1" s="562"/>
      <c r="C1" s="562"/>
      <c r="D1" s="562"/>
      <c r="E1" s="562"/>
      <c r="F1" s="562"/>
      <c r="G1" s="562"/>
      <c r="H1" s="562"/>
      <c r="I1" s="562"/>
      <c r="J1" s="561"/>
      <c r="K1" s="560" t="s">
        <v>606</v>
      </c>
      <c r="O1" s="719" t="s">
        <v>856</v>
      </c>
    </row>
    <row r="2" spans="1:16" ht="15">
      <c r="A2" s="563" t="s">
        <v>6</v>
      </c>
      <c r="B2" s="562"/>
      <c r="C2" s="562"/>
      <c r="D2" s="562"/>
      <c r="E2" s="562"/>
      <c r="F2" s="562"/>
      <c r="G2" s="562"/>
      <c r="H2" s="562"/>
      <c r="I2" s="562"/>
      <c r="J2" s="561"/>
      <c r="K2" s="560" t="s">
        <v>48</v>
      </c>
      <c r="O2" s="536" t="s">
        <v>679</v>
      </c>
    </row>
    <row r="3" spans="1:16" ht="15">
      <c r="A3" s="559" t="s">
        <v>1167</v>
      </c>
      <c r="B3" s="629"/>
      <c r="C3" s="629"/>
      <c r="D3" s="629"/>
      <c r="E3" s="629"/>
      <c r="F3" s="629"/>
      <c r="G3" s="629"/>
      <c r="H3" s="629"/>
      <c r="I3" s="629"/>
      <c r="J3" s="629"/>
      <c r="K3" s="629"/>
      <c r="O3" s="539">
        <v>40664</v>
      </c>
      <c r="P3" s="721">
        <v>1.6000000000000001E-3</v>
      </c>
    </row>
    <row r="4" spans="1:16" ht="15">
      <c r="A4" s="558" t="s">
        <v>678</v>
      </c>
      <c r="B4" s="629"/>
      <c r="C4" s="629"/>
      <c r="D4" s="629"/>
      <c r="E4" s="629"/>
      <c r="F4" s="629"/>
      <c r="G4" s="629"/>
      <c r="H4" s="629"/>
      <c r="I4" s="629"/>
      <c r="J4" s="629"/>
      <c r="K4" s="629"/>
      <c r="O4" s="539">
        <v>40695</v>
      </c>
      <c r="P4" s="720">
        <v>1.5E-3</v>
      </c>
    </row>
    <row r="5" spans="1:16" ht="14.25">
      <c r="A5" s="629"/>
      <c r="B5" s="629"/>
      <c r="C5" s="629"/>
      <c r="D5" s="629"/>
      <c r="E5" s="629"/>
      <c r="F5" s="629"/>
      <c r="G5" s="629"/>
      <c r="H5" s="629"/>
      <c r="I5" s="629"/>
      <c r="J5" s="629"/>
      <c r="K5" s="629"/>
      <c r="O5" s="539">
        <v>40725</v>
      </c>
      <c r="P5" s="720">
        <v>1.4E-3</v>
      </c>
    </row>
    <row r="6" spans="1:16" ht="14.25">
      <c r="A6" s="629"/>
      <c r="B6" s="629"/>
      <c r="C6" s="629"/>
      <c r="D6" s="629"/>
      <c r="E6" s="629"/>
      <c r="F6" s="629"/>
      <c r="G6" s="629"/>
      <c r="H6" s="629"/>
      <c r="I6" s="629"/>
      <c r="J6" s="629"/>
      <c r="K6" s="629"/>
      <c r="O6" s="539">
        <v>40756</v>
      </c>
      <c r="P6" s="721">
        <v>1.6000000000000001E-3</v>
      </c>
    </row>
    <row r="7" spans="1:16" ht="15">
      <c r="A7" s="557" t="s">
        <v>43</v>
      </c>
      <c r="B7" s="556"/>
      <c r="C7" s="556"/>
      <c r="D7" s="556"/>
      <c r="E7" s="556"/>
      <c r="F7" s="556"/>
      <c r="G7" s="629"/>
      <c r="H7" s="629"/>
      <c r="I7" s="629"/>
      <c r="J7" s="629"/>
      <c r="K7" s="629"/>
      <c r="O7" s="539">
        <v>40787</v>
      </c>
      <c r="P7" s="720">
        <v>1.4E-3</v>
      </c>
    </row>
    <row r="8" spans="1:16" ht="15">
      <c r="A8" s="553" t="s">
        <v>42</v>
      </c>
      <c r="B8" s="555" t="s">
        <v>677</v>
      </c>
      <c r="C8" s="554"/>
      <c r="D8" s="554"/>
      <c r="E8" s="554"/>
      <c r="F8" s="547"/>
      <c r="G8" s="547"/>
      <c r="H8" s="547"/>
      <c r="I8" s="547"/>
      <c r="J8" s="629"/>
      <c r="K8" s="553" t="s">
        <v>676</v>
      </c>
      <c r="O8" s="539">
        <v>40817</v>
      </c>
      <c r="P8" s="720">
        <v>1.5E-3</v>
      </c>
    </row>
    <row r="9" spans="1:16" ht="14.25">
      <c r="A9" s="629"/>
      <c r="B9" s="629"/>
      <c r="C9" s="629"/>
      <c r="D9" s="629"/>
      <c r="E9" s="629"/>
      <c r="F9" s="629"/>
      <c r="G9" s="629"/>
      <c r="H9" s="629"/>
      <c r="I9" s="629"/>
      <c r="J9" s="629"/>
      <c r="K9" s="629"/>
      <c r="O9" s="539">
        <v>40848</v>
      </c>
      <c r="P9" s="720">
        <v>1.4E-3</v>
      </c>
    </row>
    <row r="10" spans="1:16" ht="14.25">
      <c r="A10" s="540">
        <v>1</v>
      </c>
      <c r="B10" s="629" t="s">
        <v>675</v>
      </c>
      <c r="C10" s="629"/>
      <c r="D10" s="629"/>
      <c r="E10" s="629"/>
      <c r="F10" s="629"/>
      <c r="G10" s="629"/>
      <c r="H10" s="629"/>
      <c r="I10" s="629"/>
      <c r="J10" s="629"/>
      <c r="K10" s="853"/>
      <c r="O10" s="539">
        <v>40878</v>
      </c>
      <c r="P10" s="720">
        <v>1.4E-3</v>
      </c>
    </row>
    <row r="11" spans="1:16" ht="14.25">
      <c r="A11" s="540">
        <v>2</v>
      </c>
      <c r="B11" s="629" t="s">
        <v>978</v>
      </c>
      <c r="C11" s="629"/>
      <c r="D11" s="629"/>
      <c r="E11" s="629"/>
      <c r="F11" s="629"/>
      <c r="G11" s="629"/>
      <c r="H11" s="629"/>
      <c r="I11" s="629"/>
      <c r="J11" s="629"/>
      <c r="K11" s="854"/>
      <c r="O11" s="539">
        <v>40909</v>
      </c>
      <c r="P11" s="720">
        <v>1.4E-3</v>
      </c>
    </row>
    <row r="12" spans="1:16" ht="14.25">
      <c r="A12" s="540">
        <v>3</v>
      </c>
      <c r="B12" s="629" t="s">
        <v>1168</v>
      </c>
      <c r="C12" s="629"/>
      <c r="D12" s="629"/>
      <c r="E12" s="629"/>
      <c r="F12" s="629"/>
      <c r="G12" s="629"/>
      <c r="H12" s="629"/>
      <c r="I12" s="629"/>
      <c r="J12" s="629"/>
      <c r="K12" s="855">
        <v>58977.120000000003</v>
      </c>
      <c r="O12" s="539">
        <v>40940</v>
      </c>
      <c r="P12" s="720">
        <v>1.6999999999999999E-3</v>
      </c>
    </row>
    <row r="13" spans="1:16" ht="14.25">
      <c r="A13" s="540">
        <v>4</v>
      </c>
      <c r="B13" s="629" t="s">
        <v>674</v>
      </c>
      <c r="C13" s="629"/>
      <c r="D13" s="629"/>
      <c r="E13" s="629"/>
      <c r="F13" s="629"/>
      <c r="G13" s="629"/>
      <c r="H13" s="629"/>
      <c r="I13" s="545"/>
      <c r="J13" s="629"/>
      <c r="K13" s="856">
        <v>0</v>
      </c>
      <c r="O13" s="539">
        <v>40969</v>
      </c>
      <c r="P13" s="720">
        <v>1.8E-3</v>
      </c>
    </row>
    <row r="14" spans="1:16" ht="15" thickBot="1">
      <c r="A14" s="540">
        <v>5</v>
      </c>
      <c r="B14" s="629" t="s">
        <v>673</v>
      </c>
      <c r="C14" s="629"/>
      <c r="D14" s="629"/>
      <c r="E14" s="629"/>
      <c r="F14" s="629"/>
      <c r="G14" s="629"/>
      <c r="H14" s="629"/>
      <c r="I14" s="629"/>
      <c r="J14" s="629"/>
      <c r="K14" s="625">
        <f>SUM(K10:K13)</f>
        <v>58977.120000000003</v>
      </c>
      <c r="O14" s="539">
        <v>41000</v>
      </c>
      <c r="P14" s="720">
        <v>2E-3</v>
      </c>
    </row>
    <row r="15" spans="1:16" ht="17.25" thickTop="1" thickBot="1">
      <c r="A15" s="540">
        <v>6</v>
      </c>
      <c r="B15" s="629"/>
      <c r="C15" s="629"/>
      <c r="D15" s="629"/>
      <c r="E15" s="629"/>
      <c r="F15" s="629"/>
      <c r="G15" s="629"/>
      <c r="H15" s="629"/>
      <c r="I15" s="629"/>
      <c r="J15" s="629"/>
      <c r="K15" s="629"/>
      <c r="O15" s="549" t="s">
        <v>285</v>
      </c>
      <c r="P15" s="720">
        <f>AVERAGE(P3:P14)</f>
        <v>1.5583333333333334E-3</v>
      </c>
    </row>
    <row r="16" spans="1:16" ht="16.5" thickBot="1">
      <c r="A16" s="540">
        <v>7</v>
      </c>
      <c r="B16" s="629" t="s">
        <v>672</v>
      </c>
      <c r="C16" s="629"/>
      <c r="D16" s="629"/>
      <c r="E16" s="629"/>
      <c r="F16" s="629"/>
      <c r="G16" s="629"/>
      <c r="H16" s="629"/>
      <c r="I16" s="629"/>
      <c r="J16" s="629"/>
      <c r="K16" s="857">
        <v>0</v>
      </c>
      <c r="O16" s="549" t="s">
        <v>670</v>
      </c>
      <c r="P16" s="722">
        <v>5.0000000000000001E-3</v>
      </c>
    </row>
    <row r="17" spans="1:17" ht="15.75">
      <c r="A17" s="540">
        <v>8</v>
      </c>
      <c r="B17" s="629" t="s">
        <v>671</v>
      </c>
      <c r="C17" s="629"/>
      <c r="D17" s="629"/>
      <c r="E17" s="629"/>
      <c r="F17" s="629"/>
      <c r="G17" s="629"/>
      <c r="H17" s="629"/>
      <c r="I17" s="629"/>
      <c r="J17" s="629"/>
      <c r="K17" s="629"/>
      <c r="O17" s="549" t="s">
        <v>246</v>
      </c>
      <c r="P17" s="720">
        <f>P15-P16</f>
        <v>-3.4416666666666667E-3</v>
      </c>
    </row>
    <row r="18" spans="1:17" ht="15.75">
      <c r="A18" s="540">
        <v>9</v>
      </c>
      <c r="B18" s="629"/>
      <c r="C18" s="629"/>
      <c r="D18" s="629"/>
      <c r="E18" s="629"/>
      <c r="F18" s="629"/>
      <c r="G18" s="629"/>
      <c r="H18" s="629"/>
      <c r="I18" s="629"/>
      <c r="J18" s="629"/>
      <c r="K18" s="629"/>
      <c r="O18" s="549"/>
    </row>
    <row r="19" spans="1:17" ht="15">
      <c r="A19" s="540">
        <v>10</v>
      </c>
      <c r="B19" s="629"/>
      <c r="C19" s="629"/>
      <c r="D19" s="629"/>
      <c r="E19" s="629"/>
      <c r="F19" s="629"/>
      <c r="G19" s="629"/>
      <c r="H19" s="552" t="s">
        <v>669</v>
      </c>
      <c r="I19" s="552" t="s">
        <v>668</v>
      </c>
      <c r="J19" s="552" t="s">
        <v>667</v>
      </c>
      <c r="K19" s="629"/>
      <c r="O19" s="536" t="s">
        <v>666</v>
      </c>
    </row>
    <row r="20" spans="1:17" ht="15">
      <c r="A20" s="540">
        <v>11</v>
      </c>
      <c r="B20" s="548" t="s">
        <v>286</v>
      </c>
      <c r="C20" s="547"/>
      <c r="D20" s="547"/>
      <c r="E20" s="547"/>
      <c r="F20" s="547"/>
      <c r="G20" s="629"/>
      <c r="H20" s="551" t="s">
        <v>31</v>
      </c>
      <c r="I20" s="551" t="s">
        <v>32</v>
      </c>
      <c r="J20" s="551" t="s">
        <v>245</v>
      </c>
      <c r="K20" s="629"/>
    </row>
    <row r="21" spans="1:17" ht="14.25">
      <c r="A21" s="540">
        <v>12</v>
      </c>
      <c r="B21" s="629"/>
      <c r="C21" s="629"/>
      <c r="D21" s="629"/>
      <c r="E21" s="629"/>
      <c r="F21" s="629"/>
      <c r="G21" s="629"/>
      <c r="H21" s="629"/>
      <c r="I21" s="629"/>
      <c r="J21" s="629"/>
      <c r="K21" s="629"/>
    </row>
    <row r="22" spans="1:17" ht="14.25">
      <c r="A22" s="540">
        <v>13</v>
      </c>
      <c r="B22" s="629" t="s">
        <v>665</v>
      </c>
      <c r="C22" s="629"/>
      <c r="D22" s="629"/>
      <c r="E22" s="629"/>
      <c r="F22" s="629"/>
      <c r="G22" s="629"/>
      <c r="H22" s="858">
        <v>0</v>
      </c>
      <c r="I22" s="859">
        <f>K14</f>
        <v>58977.120000000003</v>
      </c>
      <c r="J22" s="723">
        <f>SUM(H22:I22)</f>
        <v>58977.120000000003</v>
      </c>
      <c r="K22" s="629"/>
    </row>
    <row r="23" spans="1:17" ht="14.25">
      <c r="A23" s="540">
        <v>14</v>
      </c>
      <c r="B23" s="629"/>
      <c r="C23" s="629"/>
      <c r="D23" s="629"/>
      <c r="E23" s="629"/>
      <c r="F23" s="629"/>
      <c r="G23" s="629"/>
      <c r="H23" s="860">
        <v>0</v>
      </c>
      <c r="I23" s="861">
        <v>0</v>
      </c>
      <c r="J23" s="724">
        <f>SUM(H23:I23)</f>
        <v>0</v>
      </c>
      <c r="K23" s="629"/>
      <c r="P23" s="720"/>
    </row>
    <row r="24" spans="1:17" ht="14.25">
      <c r="A24" s="540">
        <v>15</v>
      </c>
      <c r="B24" s="629"/>
      <c r="C24" s="629"/>
      <c r="D24" s="629"/>
      <c r="E24" s="629"/>
      <c r="F24" s="629"/>
      <c r="G24" s="629"/>
      <c r="H24" s="550"/>
      <c r="I24" s="725"/>
      <c r="J24" s="725"/>
      <c r="K24" s="629"/>
    </row>
    <row r="25" spans="1:17" ht="14.25">
      <c r="A25" s="540">
        <v>16</v>
      </c>
      <c r="B25" s="629" t="s">
        <v>664</v>
      </c>
      <c r="C25" s="629"/>
      <c r="D25" s="629"/>
      <c r="E25" s="629"/>
      <c r="F25" s="629"/>
      <c r="G25" s="629"/>
      <c r="H25" s="724">
        <f>SUM(H22:H24)</f>
        <v>0</v>
      </c>
      <c r="I25" s="724">
        <f>SUM(I22:I24)</f>
        <v>58977.120000000003</v>
      </c>
      <c r="J25" s="726">
        <f>SUM(J22:J24)</f>
        <v>58977.120000000003</v>
      </c>
      <c r="K25" s="629"/>
    </row>
    <row r="26" spans="1:17" ht="14.25">
      <c r="A26" s="540">
        <v>17</v>
      </c>
      <c r="B26" s="629" t="s">
        <v>663</v>
      </c>
      <c r="C26" s="629"/>
      <c r="D26" s="629"/>
      <c r="E26" s="629"/>
      <c r="F26" s="629"/>
      <c r="G26" s="629"/>
      <c r="H26" s="550">
        <f>H25*K16</f>
        <v>0</v>
      </c>
      <c r="I26" s="550">
        <f>I25*K16</f>
        <v>0</v>
      </c>
      <c r="J26" s="725">
        <f>SUM(H26:I26)</f>
        <v>0</v>
      </c>
      <c r="K26" s="629"/>
      <c r="Q26" s="720"/>
    </row>
    <row r="27" spans="1:17" ht="16.5" thickBot="1">
      <c r="A27" s="540">
        <v>18</v>
      </c>
      <c r="B27" s="629" t="s">
        <v>245</v>
      </c>
      <c r="C27" s="629"/>
      <c r="D27" s="629"/>
      <c r="E27" s="629"/>
      <c r="F27" s="629"/>
      <c r="G27" s="629"/>
      <c r="H27" s="727">
        <f>SUM(H25:H26)</f>
        <v>0</v>
      </c>
      <c r="I27" s="727">
        <f>SUM(I25:I26)</f>
        <v>58977.120000000003</v>
      </c>
      <c r="J27" s="727">
        <f>SUM(J25:J26)</f>
        <v>58977.120000000003</v>
      </c>
      <c r="K27" s="629"/>
      <c r="O27" s="549" t="s">
        <v>662</v>
      </c>
      <c r="Q27" s="720"/>
    </row>
    <row r="28" spans="1:17" ht="15" thickTop="1">
      <c r="A28" s="540">
        <v>19</v>
      </c>
      <c r="B28" s="629"/>
      <c r="C28" s="629"/>
      <c r="D28" s="629"/>
      <c r="E28" s="629"/>
      <c r="F28" s="629"/>
      <c r="G28" s="629"/>
      <c r="H28" s="728"/>
      <c r="I28" s="728"/>
      <c r="J28" s="728"/>
      <c r="K28" s="629"/>
      <c r="O28" s="536" t="s">
        <v>660</v>
      </c>
      <c r="Q28" s="720"/>
    </row>
    <row r="29" spans="1:17" ht="15">
      <c r="A29" s="540">
        <v>20</v>
      </c>
      <c r="B29" s="548" t="s">
        <v>661</v>
      </c>
      <c r="C29" s="547"/>
      <c r="D29" s="547"/>
      <c r="E29" s="547"/>
      <c r="F29" s="547"/>
      <c r="G29" s="629"/>
      <c r="H29" s="629"/>
      <c r="I29" s="629"/>
      <c r="J29" s="629"/>
      <c r="K29" s="629"/>
      <c r="O29" s="536" t="s">
        <v>659</v>
      </c>
      <c r="Q29" s="720"/>
    </row>
    <row r="30" spans="1:17" ht="15">
      <c r="A30" s="540">
        <v>21</v>
      </c>
      <c r="B30" s="546"/>
      <c r="C30" s="545"/>
      <c r="D30" s="545"/>
      <c r="E30" s="545"/>
      <c r="F30" s="545"/>
      <c r="G30" s="629"/>
      <c r="H30" s="629"/>
      <c r="I30" s="629"/>
      <c r="J30" s="629"/>
      <c r="K30" s="629"/>
      <c r="O30" s="536" t="s">
        <v>657</v>
      </c>
      <c r="Q30" s="720"/>
    </row>
    <row r="31" spans="1:17" ht="14.25">
      <c r="A31" s="540">
        <v>22</v>
      </c>
      <c r="B31" s="629" t="s">
        <v>658</v>
      </c>
      <c r="C31" s="629"/>
      <c r="D31" s="629"/>
      <c r="E31" s="629"/>
      <c r="F31" s="629"/>
      <c r="G31" s="629"/>
      <c r="H31" s="629"/>
      <c r="I31" s="629"/>
      <c r="J31" s="629"/>
      <c r="K31" s="629"/>
      <c r="O31" s="536" t="s">
        <v>655</v>
      </c>
      <c r="Q31" s="720"/>
    </row>
    <row r="32" spans="1:17" ht="14.25">
      <c r="A32" s="540">
        <v>23</v>
      </c>
      <c r="B32" s="629" t="s">
        <v>656</v>
      </c>
      <c r="C32" s="629"/>
      <c r="D32" s="629"/>
      <c r="E32" s="629"/>
      <c r="F32" s="629"/>
      <c r="G32" s="729">
        <f>+B.8!F22</f>
        <v>0.155</v>
      </c>
      <c r="H32" s="629"/>
      <c r="I32" s="629"/>
      <c r="J32" s="629"/>
      <c r="K32" s="629"/>
      <c r="O32" s="536" t="s">
        <v>653</v>
      </c>
      <c r="Q32" s="720"/>
    </row>
    <row r="33" spans="1:17" ht="14.25">
      <c r="A33" s="540">
        <v>24</v>
      </c>
      <c r="B33" s="629" t="s">
        <v>654</v>
      </c>
      <c r="C33" s="629"/>
      <c r="D33" s="629"/>
      <c r="E33" s="629"/>
      <c r="F33" s="629"/>
      <c r="G33" s="730"/>
      <c r="H33" s="629"/>
      <c r="I33" s="629"/>
      <c r="J33" s="629"/>
      <c r="K33" s="629"/>
      <c r="Q33" s="720"/>
    </row>
    <row r="34" spans="1:17" ht="14.25">
      <c r="A34" s="540">
        <v>25</v>
      </c>
      <c r="B34" s="629" t="s">
        <v>652</v>
      </c>
      <c r="C34" s="629"/>
      <c r="D34" s="629"/>
      <c r="E34" s="629"/>
      <c r="F34" s="629"/>
      <c r="G34" s="729">
        <f>1-G32</f>
        <v>0.84499999999999997</v>
      </c>
      <c r="H34" s="629"/>
      <c r="I34" s="629"/>
      <c r="J34" s="629"/>
      <c r="K34" s="629"/>
      <c r="O34" s="536" t="s">
        <v>650</v>
      </c>
      <c r="Q34" s="720"/>
    </row>
    <row r="35" spans="1:17" ht="14.25">
      <c r="A35" s="540">
        <v>26</v>
      </c>
      <c r="B35" s="629" t="s">
        <v>651</v>
      </c>
      <c r="C35" s="629"/>
      <c r="D35" s="629"/>
      <c r="E35" s="629"/>
      <c r="F35" s="629"/>
      <c r="G35" s="730"/>
      <c r="H35" s="629"/>
      <c r="I35" s="629"/>
      <c r="J35" s="629"/>
      <c r="K35" s="629"/>
      <c r="O35" s="536" t="s">
        <v>648</v>
      </c>
      <c r="Q35" s="720"/>
    </row>
    <row r="36" spans="1:17" ht="14.25">
      <c r="A36" s="540">
        <v>27</v>
      </c>
      <c r="B36" s="629" t="s">
        <v>649</v>
      </c>
      <c r="C36" s="629"/>
      <c r="D36" s="629"/>
      <c r="E36" s="629"/>
      <c r="F36" s="629"/>
      <c r="G36" s="730">
        <f>+B.6!G35</f>
        <v>16617444</v>
      </c>
      <c r="H36" s="629"/>
      <c r="I36" s="629"/>
      <c r="J36" s="629"/>
      <c r="K36" s="629"/>
      <c r="O36" s="536" t="s">
        <v>646</v>
      </c>
      <c r="Q36" s="720"/>
    </row>
    <row r="37" spans="1:17" ht="14.25">
      <c r="A37" s="540">
        <v>28</v>
      </c>
      <c r="B37" s="629" t="s">
        <v>647</v>
      </c>
      <c r="C37" s="629"/>
      <c r="D37" s="629"/>
      <c r="E37" s="629"/>
      <c r="F37" s="629"/>
      <c r="G37" s="730"/>
      <c r="H37" s="629"/>
      <c r="I37" s="629"/>
      <c r="J37" s="629"/>
      <c r="K37" s="629"/>
      <c r="O37" s="536" t="s">
        <v>644</v>
      </c>
      <c r="Q37" s="720"/>
    </row>
    <row r="38" spans="1:17" ht="14.25">
      <c r="A38" s="540">
        <v>29</v>
      </c>
      <c r="B38" s="629" t="s">
        <v>645</v>
      </c>
      <c r="C38" s="629"/>
      <c r="D38" s="629"/>
      <c r="E38" s="629"/>
      <c r="F38" s="629"/>
      <c r="G38" s="730">
        <f>+B.6!F35</f>
        <v>16849112</v>
      </c>
      <c r="H38" s="629"/>
      <c r="I38" s="629"/>
      <c r="J38" s="629"/>
      <c r="K38" s="629"/>
      <c r="O38" s="536" t="s">
        <v>643</v>
      </c>
    </row>
    <row r="39" spans="1:17" ht="14.25">
      <c r="A39" s="540">
        <v>30</v>
      </c>
      <c r="B39" s="629"/>
      <c r="C39" s="629"/>
      <c r="D39" s="629"/>
      <c r="E39" s="629"/>
      <c r="F39" s="629"/>
      <c r="G39" s="629"/>
      <c r="H39" s="629"/>
      <c r="I39" s="629"/>
      <c r="J39" s="629"/>
      <c r="K39" s="629"/>
      <c r="O39" s="536" t="s">
        <v>641</v>
      </c>
    </row>
    <row r="40" spans="1:17" ht="14.25">
      <c r="A40" s="540">
        <v>31</v>
      </c>
      <c r="B40" s="629" t="s">
        <v>642</v>
      </c>
      <c r="C40" s="629"/>
      <c r="D40" s="629"/>
      <c r="E40" s="629"/>
      <c r="F40" s="629"/>
      <c r="G40" s="723">
        <f>H27</f>
        <v>0</v>
      </c>
      <c r="H40" s="731">
        <f>ROUND(G40/$G$38,4)</f>
        <v>0</v>
      </c>
      <c r="I40" s="543" t="s">
        <v>624</v>
      </c>
      <c r="J40" s="629"/>
      <c r="K40" s="629"/>
      <c r="O40" s="536" t="s">
        <v>639</v>
      </c>
    </row>
    <row r="41" spans="1:17" ht="14.25">
      <c r="A41" s="540">
        <v>32</v>
      </c>
      <c r="B41" s="629" t="s">
        <v>640</v>
      </c>
      <c r="C41" s="629"/>
      <c r="D41" s="629"/>
      <c r="E41" s="629"/>
      <c r="F41" s="629"/>
      <c r="G41" s="723">
        <f>H27</f>
        <v>0</v>
      </c>
      <c r="H41" s="731">
        <f>ROUND(G41/$G$36,4)</f>
        <v>0</v>
      </c>
      <c r="I41" s="543" t="s">
        <v>624</v>
      </c>
      <c r="J41" s="629"/>
      <c r="K41" s="629"/>
      <c r="O41" s="536" t="s">
        <v>637</v>
      </c>
    </row>
    <row r="42" spans="1:17" ht="14.25">
      <c r="A42" s="540">
        <v>33</v>
      </c>
      <c r="B42" s="629" t="s">
        <v>638</v>
      </c>
      <c r="C42" s="629"/>
      <c r="D42" s="629"/>
      <c r="E42" s="629"/>
      <c r="F42" s="629"/>
      <c r="G42" s="544">
        <f>I27</f>
        <v>58977.120000000003</v>
      </c>
      <c r="H42" s="629"/>
      <c r="I42" s="732">
        <f>ROUND(I27/G38,4)</f>
        <v>3.5000000000000001E-3</v>
      </c>
      <c r="J42" s="543" t="s">
        <v>624</v>
      </c>
      <c r="K42" s="629"/>
      <c r="O42" s="536" t="s">
        <v>635</v>
      </c>
    </row>
    <row r="43" spans="1:17" ht="15" thickBot="1">
      <c r="A43" s="540">
        <v>34</v>
      </c>
      <c r="B43" s="629" t="s">
        <v>636</v>
      </c>
      <c r="C43" s="629"/>
      <c r="D43" s="629"/>
      <c r="E43" s="629"/>
      <c r="F43" s="629"/>
      <c r="G43" s="629"/>
      <c r="H43" s="629"/>
      <c r="I43" s="629"/>
      <c r="J43" s="629"/>
      <c r="K43" s="543"/>
      <c r="O43" s="536" t="s">
        <v>633</v>
      </c>
    </row>
    <row r="44" spans="1:17" ht="15.75" thickBot="1">
      <c r="A44" s="540">
        <v>35</v>
      </c>
      <c r="B44" s="629" t="s">
        <v>634</v>
      </c>
      <c r="C44" s="629"/>
      <c r="D44" s="629"/>
      <c r="E44" s="629"/>
      <c r="F44" s="629"/>
      <c r="G44" s="629"/>
      <c r="H44" s="733">
        <f>SUM(H40:H41)</f>
        <v>0</v>
      </c>
      <c r="I44" s="541" t="s">
        <v>624</v>
      </c>
      <c r="J44" s="629"/>
      <c r="K44" s="629"/>
    </row>
    <row r="45" spans="1:17" ht="15.75" thickBot="1">
      <c r="A45" s="540">
        <v>36</v>
      </c>
      <c r="B45" s="629" t="s">
        <v>632</v>
      </c>
      <c r="C45" s="629"/>
      <c r="D45" s="629"/>
      <c r="E45" s="629"/>
      <c r="F45" s="629"/>
      <c r="G45" s="629"/>
      <c r="H45" s="734"/>
      <c r="I45" s="542"/>
      <c r="J45" s="629"/>
      <c r="K45" s="629"/>
      <c r="M45" s="536" t="s">
        <v>1025</v>
      </c>
    </row>
    <row r="46" spans="1:17" ht="15.75" thickBot="1">
      <c r="A46" s="540">
        <v>37</v>
      </c>
      <c r="B46" s="629" t="s">
        <v>631</v>
      </c>
      <c r="C46" s="629"/>
      <c r="D46" s="629"/>
      <c r="E46" s="629"/>
      <c r="F46" s="629"/>
      <c r="G46" s="629"/>
      <c r="H46" s="733">
        <f>SUM(H40:H40)</f>
        <v>0</v>
      </c>
      <c r="I46" s="541" t="s">
        <v>624</v>
      </c>
      <c r="J46" s="629"/>
      <c r="K46" s="629"/>
      <c r="O46" s="536" t="s">
        <v>629</v>
      </c>
    </row>
    <row r="47" spans="1:17" ht="15" thickBot="1">
      <c r="A47" s="540">
        <v>38</v>
      </c>
      <c r="B47" s="629" t="s">
        <v>630</v>
      </c>
      <c r="C47" s="629"/>
      <c r="D47" s="629"/>
      <c r="E47" s="629"/>
      <c r="F47" s="629"/>
      <c r="G47" s="629"/>
      <c r="H47" s="629"/>
      <c r="I47" s="629"/>
      <c r="J47" s="629"/>
      <c r="K47" s="629"/>
      <c r="O47" s="536" t="s">
        <v>627</v>
      </c>
    </row>
    <row r="48" spans="1:17" ht="15.75" thickBot="1">
      <c r="A48" s="540">
        <v>39</v>
      </c>
      <c r="B48" s="629" t="s">
        <v>628</v>
      </c>
      <c r="C48" s="629"/>
      <c r="D48" s="629"/>
      <c r="E48" s="629"/>
      <c r="F48" s="629"/>
      <c r="G48" s="629"/>
      <c r="H48" s="629"/>
      <c r="I48" s="735">
        <f>I42+H44</f>
        <v>3.5000000000000001E-3</v>
      </c>
      <c r="J48" s="541" t="s">
        <v>624</v>
      </c>
      <c r="K48" s="629"/>
    </row>
    <row r="49" spans="1:20" ht="15.75" thickBot="1">
      <c r="A49" s="540">
        <v>40</v>
      </c>
      <c r="B49" s="629" t="s">
        <v>626</v>
      </c>
      <c r="C49" s="629"/>
      <c r="D49" s="629"/>
      <c r="E49" s="629"/>
      <c r="F49" s="629"/>
      <c r="G49" s="629"/>
      <c r="H49" s="629"/>
      <c r="I49" s="736"/>
      <c r="J49" s="542"/>
      <c r="K49" s="629"/>
    </row>
    <row r="50" spans="1:20" ht="15.75" thickBot="1">
      <c r="A50" s="540">
        <v>41</v>
      </c>
      <c r="B50" s="629" t="s">
        <v>625</v>
      </c>
      <c r="C50" s="629"/>
      <c r="D50" s="629"/>
      <c r="E50" s="629"/>
      <c r="F50" s="629"/>
      <c r="G50" s="629"/>
      <c r="H50" s="629"/>
      <c r="I50" s="735">
        <f>I42+H46</f>
        <v>3.5000000000000001E-3</v>
      </c>
      <c r="J50" s="541" t="s">
        <v>624</v>
      </c>
      <c r="K50" s="629"/>
      <c r="O50" s="536" t="s">
        <v>623</v>
      </c>
    </row>
    <row r="51" spans="1:20">
      <c r="O51" s="536" t="s">
        <v>622</v>
      </c>
    </row>
    <row r="52" spans="1:20">
      <c r="O52" s="536" t="s">
        <v>621</v>
      </c>
    </row>
    <row r="53" spans="1:20">
      <c r="O53" s="536" t="s">
        <v>620</v>
      </c>
    </row>
    <row r="54" spans="1:20">
      <c r="O54" s="536" t="s">
        <v>619</v>
      </c>
    </row>
    <row r="55" spans="1:20">
      <c r="O55" s="536" t="s">
        <v>618</v>
      </c>
    </row>
    <row r="56" spans="1:20" ht="92.25" customHeight="1">
      <c r="O56" s="1133" t="s">
        <v>979</v>
      </c>
      <c r="P56" s="1134"/>
      <c r="Q56" s="1134"/>
      <c r="R56" s="1134"/>
      <c r="S56" s="1134"/>
      <c r="T56" s="1134"/>
    </row>
    <row r="57" spans="1:20" ht="141.75" customHeight="1">
      <c r="O57" s="1133" t="s">
        <v>980</v>
      </c>
      <c r="P57" s="1134"/>
      <c r="Q57" s="1134"/>
      <c r="R57" s="1134"/>
      <c r="S57" s="1134"/>
      <c r="T57" s="1134"/>
    </row>
    <row r="58" spans="1:20">
      <c r="O58" s="536" t="s">
        <v>617</v>
      </c>
    </row>
    <row r="59" spans="1:20">
      <c r="O59" s="536" t="s">
        <v>616</v>
      </c>
    </row>
    <row r="60" spans="1:20">
      <c r="O60" s="536" t="s">
        <v>615</v>
      </c>
    </row>
    <row r="61" spans="1:20">
      <c r="O61" s="536" t="s">
        <v>614</v>
      </c>
    </row>
    <row r="62" spans="1:20">
      <c r="O62" s="536" t="s">
        <v>613</v>
      </c>
    </row>
    <row r="63" spans="1:20">
      <c r="O63" s="536" t="s">
        <v>612</v>
      </c>
    </row>
    <row r="65" spans="15:15">
      <c r="O65" s="536" t="s">
        <v>611</v>
      </c>
    </row>
    <row r="67" spans="15:15">
      <c r="O67" s="536" t="s">
        <v>610</v>
      </c>
    </row>
  </sheetData>
  <mergeCells count="2">
    <mergeCell ref="O56:T56"/>
    <mergeCell ref="O57:T57"/>
  </mergeCells>
  <hyperlinks>
    <hyperlink ref="O1" r:id="rId1"/>
  </hyperlinks>
  <printOptions horizontalCentered="1"/>
  <pageMargins left="0.25" right="0.25" top="1" bottom="1" header="0.5" footer="0.5"/>
  <pageSetup scale="92" orientation="portrait" r:id="rId2"/>
  <headerFooter alignWithMargins="0"/>
  <customProperties>
    <customPr name="_pios_id" r:id="rId3"/>
  </customProperties>
  <drawing r:id="rId4"/>
  <legacy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L47"/>
  <sheetViews>
    <sheetView topLeftCell="C1" zoomScale="75" workbookViewId="0">
      <selection activeCell="E33" sqref="E33"/>
    </sheetView>
  </sheetViews>
  <sheetFormatPr defaultColWidth="9.28515625" defaultRowHeight="15.75"/>
  <cols>
    <col min="1" max="2" width="9.28515625" style="522" customWidth="1"/>
    <col min="3" max="4" width="2.85546875" style="522" customWidth="1"/>
    <col min="5" max="8" width="9.28515625" style="522" customWidth="1"/>
    <col min="9" max="9" width="24" style="522" customWidth="1"/>
    <col min="10" max="10" width="9.28515625" style="522" customWidth="1"/>
    <col min="11" max="11" width="11.5703125" style="522" customWidth="1"/>
    <col min="12" max="16384" width="9.28515625" style="522"/>
  </cols>
  <sheetData>
    <row r="1" spans="1:12">
      <c r="A1" s="535" t="s">
        <v>607</v>
      </c>
      <c r="B1" s="535"/>
      <c r="C1" s="534"/>
      <c r="D1" s="534"/>
      <c r="E1" s="534"/>
      <c r="F1" s="534"/>
      <c r="G1" s="534"/>
      <c r="H1" s="534"/>
      <c r="I1" s="534"/>
      <c r="J1" s="534"/>
      <c r="K1" s="522" t="s">
        <v>606</v>
      </c>
    </row>
    <row r="2" spans="1:12">
      <c r="A2" s="535" t="s">
        <v>605</v>
      </c>
      <c r="B2" s="535"/>
      <c r="C2" s="534"/>
      <c r="D2" s="534"/>
      <c r="E2" s="534"/>
      <c r="F2" s="534"/>
      <c r="G2" s="534"/>
      <c r="H2" s="534"/>
      <c r="I2" s="534"/>
      <c r="J2" s="534"/>
      <c r="K2" s="522" t="s">
        <v>55</v>
      </c>
    </row>
    <row r="3" spans="1:12">
      <c r="A3" s="535" t="s">
        <v>604</v>
      </c>
      <c r="B3" s="535"/>
      <c r="C3" s="534"/>
      <c r="D3" s="534"/>
      <c r="E3" s="534"/>
      <c r="F3" s="534"/>
      <c r="G3" s="534"/>
      <c r="H3" s="534"/>
      <c r="I3" s="534"/>
      <c r="J3" s="534"/>
    </row>
    <row r="6" spans="1:12">
      <c r="A6" s="522" t="s">
        <v>603</v>
      </c>
    </row>
    <row r="8" spans="1:12">
      <c r="A8" s="522" t="s">
        <v>602</v>
      </c>
      <c r="J8" s="522" t="str">
        <f>+E.1!A3</f>
        <v>Case No. 2015-00000</v>
      </c>
      <c r="K8" s="862"/>
      <c r="L8" s="533"/>
    </row>
    <row r="9" spans="1:12">
      <c r="A9" s="522" t="s">
        <v>860</v>
      </c>
      <c r="F9" s="737"/>
    </row>
    <row r="12" spans="1:12">
      <c r="A12" s="522" t="s">
        <v>601</v>
      </c>
    </row>
    <row r="14" spans="1:12">
      <c r="A14" s="522" t="s">
        <v>1169</v>
      </c>
    </row>
    <row r="15" spans="1:12">
      <c r="A15" s="522" t="s">
        <v>600</v>
      </c>
    </row>
    <row r="17" spans="3:9">
      <c r="I17" s="525"/>
    </row>
    <row r="19" spans="3:9">
      <c r="C19" s="522" t="s">
        <v>599</v>
      </c>
    </row>
    <row r="21" spans="3:9">
      <c r="C21" s="522" t="s">
        <v>598</v>
      </c>
      <c r="I21" s="800">
        <f>-E.1!K14</f>
        <v>-58977.120000000003</v>
      </c>
    </row>
    <row r="22" spans="3:9">
      <c r="C22" s="522" t="s">
        <v>597</v>
      </c>
      <c r="I22" s="525">
        <v>0</v>
      </c>
    </row>
    <row r="23" spans="3:9">
      <c r="C23" s="522" t="s">
        <v>596</v>
      </c>
      <c r="I23" s="527">
        <f>I24-I21-I22</f>
        <v>-5120.7799999999988</v>
      </c>
    </row>
    <row r="24" spans="3:9" ht="16.5" thickBot="1">
      <c r="E24" s="522" t="s">
        <v>245</v>
      </c>
      <c r="I24" s="532">
        <f>-I35</f>
        <v>-64097.9</v>
      </c>
    </row>
    <row r="25" spans="3:9" ht="16.5" thickTop="1">
      <c r="I25" s="531"/>
    </row>
    <row r="27" spans="3:9">
      <c r="C27" s="522" t="s">
        <v>595</v>
      </c>
    </row>
    <row r="29" spans="3:9">
      <c r="C29" s="522" t="s">
        <v>364</v>
      </c>
    </row>
    <row r="30" spans="3:9">
      <c r="D30" s="522" t="s">
        <v>594</v>
      </c>
      <c r="I30" s="530">
        <f>'WP-E.1'!B23</f>
        <v>38644.97</v>
      </c>
    </row>
    <row r="31" spans="3:9">
      <c r="D31" s="522" t="s">
        <v>593</v>
      </c>
      <c r="I31" s="529">
        <f>'WP-E.1'!C23</f>
        <v>18822.55</v>
      </c>
    </row>
    <row r="32" spans="3:9">
      <c r="D32" s="522" t="s">
        <v>592</v>
      </c>
      <c r="I32" s="529">
        <f>'WP-E.1'!D23</f>
        <v>2584.13</v>
      </c>
    </row>
    <row r="33" spans="3:9">
      <c r="D33" s="522" t="s">
        <v>591</v>
      </c>
      <c r="I33" s="529">
        <f>'WP-E.1'!E23</f>
        <v>4046.25</v>
      </c>
    </row>
    <row r="34" spans="3:9">
      <c r="C34" s="528" t="s">
        <v>413</v>
      </c>
      <c r="I34" s="527"/>
    </row>
    <row r="35" spans="3:9" ht="16.5" thickBot="1">
      <c r="E35" s="522" t="s">
        <v>245</v>
      </c>
      <c r="I35" s="526">
        <f>SUM(I30:I34)</f>
        <v>64097.9</v>
      </c>
    </row>
    <row r="36" spans="3:9" ht="16.5" thickTop="1">
      <c r="I36" s="525"/>
    </row>
    <row r="39" spans="3:9">
      <c r="E39" s="524"/>
    </row>
    <row r="47" spans="3:9">
      <c r="I47" s="523">
        <f>+I35+I24</f>
        <v>0</v>
      </c>
    </row>
  </sheetData>
  <printOptions horizontalCentered="1"/>
  <pageMargins left="0.6" right="0.24" top="0.5" bottom="0" header="0" footer="0"/>
  <pageSetup scale="75" orientation="portrait" r:id="rId1"/>
  <headerFooter alignWithMargins="0"/>
  <customProperties>
    <customPr name="_pios_id" r:id="rId2"/>
  </customPropertie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A1:O41"/>
  <sheetViews>
    <sheetView zoomScale="80" zoomScaleNormal="80" workbookViewId="0">
      <selection activeCell="E33" sqref="E33"/>
    </sheetView>
  </sheetViews>
  <sheetFormatPr defaultColWidth="9.28515625" defaultRowHeight="12.75"/>
  <cols>
    <col min="1" max="5" width="9.28515625" style="875" customWidth="1"/>
    <col min="6" max="6" width="6.85546875" style="875" customWidth="1"/>
    <col min="7" max="7" width="9.5703125" style="875" bestFit="1" customWidth="1"/>
    <col min="8" max="8" width="15.140625" style="875" bestFit="1" customWidth="1"/>
    <col min="9" max="9" width="14.85546875" style="875" customWidth="1"/>
    <col min="10" max="256" width="9.28515625" style="875"/>
    <col min="257" max="261" width="9.28515625" style="875" customWidth="1"/>
    <col min="262" max="262" width="6.85546875" style="875" customWidth="1"/>
    <col min="263" max="263" width="9.140625" style="875" customWidth="1"/>
    <col min="264" max="264" width="14" style="875" bestFit="1" customWidth="1"/>
    <col min="265" max="265" width="14.85546875" style="875" customWidth="1"/>
    <col min="266" max="512" width="9.28515625" style="875"/>
    <col min="513" max="517" width="9.28515625" style="875" customWidth="1"/>
    <col min="518" max="518" width="6.85546875" style="875" customWidth="1"/>
    <col min="519" max="519" width="9.140625" style="875" customWidth="1"/>
    <col min="520" max="520" width="14" style="875" bestFit="1" customWidth="1"/>
    <col min="521" max="521" width="14.85546875" style="875" customWidth="1"/>
    <col min="522" max="768" width="9.28515625" style="875"/>
    <col min="769" max="773" width="9.28515625" style="875" customWidth="1"/>
    <col min="774" max="774" width="6.85546875" style="875" customWidth="1"/>
    <col min="775" max="775" width="9.140625" style="875" customWidth="1"/>
    <col min="776" max="776" width="14" style="875" bestFit="1" customWidth="1"/>
    <col min="777" max="777" width="14.85546875" style="875" customWidth="1"/>
    <col min="778" max="1024" width="9.28515625" style="875"/>
    <col min="1025" max="1029" width="9.28515625" style="875" customWidth="1"/>
    <col min="1030" max="1030" width="6.85546875" style="875" customWidth="1"/>
    <col min="1031" max="1031" width="9.140625" style="875" customWidth="1"/>
    <col min="1032" max="1032" width="14" style="875" bestFit="1" customWidth="1"/>
    <col min="1033" max="1033" width="14.85546875" style="875" customWidth="1"/>
    <col min="1034" max="1280" width="9.28515625" style="875"/>
    <col min="1281" max="1285" width="9.28515625" style="875" customWidth="1"/>
    <col min="1286" max="1286" width="6.85546875" style="875" customWidth="1"/>
    <col min="1287" max="1287" width="9.140625" style="875" customWidth="1"/>
    <col min="1288" max="1288" width="14" style="875" bestFit="1" customWidth="1"/>
    <col min="1289" max="1289" width="14.85546875" style="875" customWidth="1"/>
    <col min="1290" max="1536" width="9.28515625" style="875"/>
    <col min="1537" max="1541" width="9.28515625" style="875" customWidth="1"/>
    <col min="1542" max="1542" width="6.85546875" style="875" customWidth="1"/>
    <col min="1543" max="1543" width="9.140625" style="875" customWidth="1"/>
    <col min="1544" max="1544" width="14" style="875" bestFit="1" customWidth="1"/>
    <col min="1545" max="1545" width="14.85546875" style="875" customWidth="1"/>
    <col min="1546" max="1792" width="9.28515625" style="875"/>
    <col min="1793" max="1797" width="9.28515625" style="875" customWidth="1"/>
    <col min="1798" max="1798" width="6.85546875" style="875" customWidth="1"/>
    <col min="1799" max="1799" width="9.140625" style="875" customWidth="1"/>
    <col min="1800" max="1800" width="14" style="875" bestFit="1" customWidth="1"/>
    <col min="1801" max="1801" width="14.85546875" style="875" customWidth="1"/>
    <col min="1802" max="2048" width="9.28515625" style="875"/>
    <col min="2049" max="2053" width="9.28515625" style="875" customWidth="1"/>
    <col min="2054" max="2054" width="6.85546875" style="875" customWidth="1"/>
    <col min="2055" max="2055" width="9.140625" style="875" customWidth="1"/>
    <col min="2056" max="2056" width="14" style="875" bestFit="1" customWidth="1"/>
    <col min="2057" max="2057" width="14.85546875" style="875" customWidth="1"/>
    <col min="2058" max="2304" width="9.28515625" style="875"/>
    <col min="2305" max="2309" width="9.28515625" style="875" customWidth="1"/>
    <col min="2310" max="2310" width="6.85546875" style="875" customWidth="1"/>
    <col min="2311" max="2311" width="9.140625" style="875" customWidth="1"/>
    <col min="2312" max="2312" width="14" style="875" bestFit="1" customWidth="1"/>
    <col min="2313" max="2313" width="14.85546875" style="875" customWidth="1"/>
    <col min="2314" max="2560" width="9.28515625" style="875"/>
    <col min="2561" max="2565" width="9.28515625" style="875" customWidth="1"/>
    <col min="2566" max="2566" width="6.85546875" style="875" customWidth="1"/>
    <col min="2567" max="2567" width="9.140625" style="875" customWidth="1"/>
    <col min="2568" max="2568" width="14" style="875" bestFit="1" customWidth="1"/>
    <col min="2569" max="2569" width="14.85546875" style="875" customWidth="1"/>
    <col min="2570" max="2816" width="9.28515625" style="875"/>
    <col min="2817" max="2821" width="9.28515625" style="875" customWidth="1"/>
    <col min="2822" max="2822" width="6.85546875" style="875" customWidth="1"/>
    <col min="2823" max="2823" width="9.140625" style="875" customWidth="1"/>
    <col min="2824" max="2824" width="14" style="875" bestFit="1" customWidth="1"/>
    <col min="2825" max="2825" width="14.85546875" style="875" customWidth="1"/>
    <col min="2826" max="3072" width="9.28515625" style="875"/>
    <col min="3073" max="3077" width="9.28515625" style="875" customWidth="1"/>
    <col min="3078" max="3078" width="6.85546875" style="875" customWidth="1"/>
    <col min="3079" max="3079" width="9.140625" style="875" customWidth="1"/>
    <col min="3080" max="3080" width="14" style="875" bestFit="1" customWidth="1"/>
    <col min="3081" max="3081" width="14.85546875" style="875" customWidth="1"/>
    <col min="3082" max="3328" width="9.28515625" style="875"/>
    <col min="3329" max="3333" width="9.28515625" style="875" customWidth="1"/>
    <col min="3334" max="3334" width="6.85546875" style="875" customWidth="1"/>
    <col min="3335" max="3335" width="9.140625" style="875" customWidth="1"/>
    <col min="3336" max="3336" width="14" style="875" bestFit="1" customWidth="1"/>
    <col min="3337" max="3337" width="14.85546875" style="875" customWidth="1"/>
    <col min="3338" max="3584" width="9.28515625" style="875"/>
    <col min="3585" max="3589" width="9.28515625" style="875" customWidth="1"/>
    <col min="3590" max="3590" width="6.85546875" style="875" customWidth="1"/>
    <col min="3591" max="3591" width="9.140625" style="875" customWidth="1"/>
    <col min="3592" max="3592" width="14" style="875" bestFit="1" customWidth="1"/>
    <col min="3593" max="3593" width="14.85546875" style="875" customWidth="1"/>
    <col min="3594" max="3840" width="9.28515625" style="875"/>
    <col min="3841" max="3845" width="9.28515625" style="875" customWidth="1"/>
    <col min="3846" max="3846" width="6.85546875" style="875" customWidth="1"/>
    <col min="3847" max="3847" width="9.140625" style="875" customWidth="1"/>
    <col min="3848" max="3848" width="14" style="875" bestFit="1" customWidth="1"/>
    <col min="3849" max="3849" width="14.85546875" style="875" customWidth="1"/>
    <col min="3850" max="4096" width="9.28515625" style="875"/>
    <col min="4097" max="4101" width="9.28515625" style="875" customWidth="1"/>
    <col min="4102" max="4102" width="6.85546875" style="875" customWidth="1"/>
    <col min="4103" max="4103" width="9.140625" style="875" customWidth="1"/>
    <col min="4104" max="4104" width="14" style="875" bestFit="1" customWidth="1"/>
    <col min="4105" max="4105" width="14.85546875" style="875" customWidth="1"/>
    <col min="4106" max="4352" width="9.28515625" style="875"/>
    <col min="4353" max="4357" width="9.28515625" style="875" customWidth="1"/>
    <col min="4358" max="4358" width="6.85546875" style="875" customWidth="1"/>
    <col min="4359" max="4359" width="9.140625" style="875" customWidth="1"/>
    <col min="4360" max="4360" width="14" style="875" bestFit="1" customWidth="1"/>
    <col min="4361" max="4361" width="14.85546875" style="875" customWidth="1"/>
    <col min="4362" max="4608" width="9.28515625" style="875"/>
    <col min="4609" max="4613" width="9.28515625" style="875" customWidth="1"/>
    <col min="4614" max="4614" width="6.85546875" style="875" customWidth="1"/>
    <col min="4615" max="4615" width="9.140625" style="875" customWidth="1"/>
    <col min="4616" max="4616" width="14" style="875" bestFit="1" customWidth="1"/>
    <col min="4617" max="4617" width="14.85546875" style="875" customWidth="1"/>
    <col min="4618" max="4864" width="9.28515625" style="875"/>
    <col min="4865" max="4869" width="9.28515625" style="875" customWidth="1"/>
    <col min="4870" max="4870" width="6.85546875" style="875" customWidth="1"/>
    <col min="4871" max="4871" width="9.140625" style="875" customWidth="1"/>
    <col min="4872" max="4872" width="14" style="875" bestFit="1" customWidth="1"/>
    <col min="4873" max="4873" width="14.85546875" style="875" customWidth="1"/>
    <col min="4874" max="5120" width="9.28515625" style="875"/>
    <col min="5121" max="5125" width="9.28515625" style="875" customWidth="1"/>
    <col min="5126" max="5126" width="6.85546875" style="875" customWidth="1"/>
    <col min="5127" max="5127" width="9.140625" style="875" customWidth="1"/>
    <col min="5128" max="5128" width="14" style="875" bestFit="1" customWidth="1"/>
    <col min="5129" max="5129" width="14.85546875" style="875" customWidth="1"/>
    <col min="5130" max="5376" width="9.28515625" style="875"/>
    <col min="5377" max="5381" width="9.28515625" style="875" customWidth="1"/>
    <col min="5382" max="5382" width="6.85546875" style="875" customWidth="1"/>
    <col min="5383" max="5383" width="9.140625" style="875" customWidth="1"/>
    <col min="5384" max="5384" width="14" style="875" bestFit="1" customWidth="1"/>
    <col min="5385" max="5385" width="14.85546875" style="875" customWidth="1"/>
    <col min="5386" max="5632" width="9.28515625" style="875"/>
    <col min="5633" max="5637" width="9.28515625" style="875" customWidth="1"/>
    <col min="5638" max="5638" width="6.85546875" style="875" customWidth="1"/>
    <col min="5639" max="5639" width="9.140625" style="875" customWidth="1"/>
    <col min="5640" max="5640" width="14" style="875" bestFit="1" customWidth="1"/>
    <col min="5641" max="5641" width="14.85546875" style="875" customWidth="1"/>
    <col min="5642" max="5888" width="9.28515625" style="875"/>
    <col min="5889" max="5893" width="9.28515625" style="875" customWidth="1"/>
    <col min="5894" max="5894" width="6.85546875" style="875" customWidth="1"/>
    <col min="5895" max="5895" width="9.140625" style="875" customWidth="1"/>
    <col min="5896" max="5896" width="14" style="875" bestFit="1" customWidth="1"/>
    <col min="5897" max="5897" width="14.85546875" style="875" customWidth="1"/>
    <col min="5898" max="6144" width="9.28515625" style="875"/>
    <col min="6145" max="6149" width="9.28515625" style="875" customWidth="1"/>
    <col min="6150" max="6150" width="6.85546875" style="875" customWidth="1"/>
    <col min="6151" max="6151" width="9.140625" style="875" customWidth="1"/>
    <col min="6152" max="6152" width="14" style="875" bestFit="1" customWidth="1"/>
    <col min="6153" max="6153" width="14.85546875" style="875" customWidth="1"/>
    <col min="6154" max="6400" width="9.28515625" style="875"/>
    <col min="6401" max="6405" width="9.28515625" style="875" customWidth="1"/>
    <col min="6406" max="6406" width="6.85546875" style="875" customWidth="1"/>
    <col min="6407" max="6407" width="9.140625" style="875" customWidth="1"/>
    <col min="6408" max="6408" width="14" style="875" bestFit="1" customWidth="1"/>
    <col min="6409" max="6409" width="14.85546875" style="875" customWidth="1"/>
    <col min="6410" max="6656" width="9.28515625" style="875"/>
    <col min="6657" max="6661" width="9.28515625" style="875" customWidth="1"/>
    <col min="6662" max="6662" width="6.85546875" style="875" customWidth="1"/>
    <col min="6663" max="6663" width="9.140625" style="875" customWidth="1"/>
    <col min="6664" max="6664" width="14" style="875" bestFit="1" customWidth="1"/>
    <col min="6665" max="6665" width="14.85546875" style="875" customWidth="1"/>
    <col min="6666" max="6912" width="9.28515625" style="875"/>
    <col min="6913" max="6917" width="9.28515625" style="875" customWidth="1"/>
    <col min="6918" max="6918" width="6.85546875" style="875" customWidth="1"/>
    <col min="6919" max="6919" width="9.140625" style="875" customWidth="1"/>
    <col min="6920" max="6920" width="14" style="875" bestFit="1" customWidth="1"/>
    <col min="6921" max="6921" width="14.85546875" style="875" customWidth="1"/>
    <col min="6922" max="7168" width="9.28515625" style="875"/>
    <col min="7169" max="7173" width="9.28515625" style="875" customWidth="1"/>
    <col min="7174" max="7174" width="6.85546875" style="875" customWidth="1"/>
    <col min="7175" max="7175" width="9.140625" style="875" customWidth="1"/>
    <col min="7176" max="7176" width="14" style="875" bestFit="1" customWidth="1"/>
    <col min="7177" max="7177" width="14.85546875" style="875" customWidth="1"/>
    <col min="7178" max="7424" width="9.28515625" style="875"/>
    <col min="7425" max="7429" width="9.28515625" style="875" customWidth="1"/>
    <col min="7430" max="7430" width="6.85546875" style="875" customWidth="1"/>
    <col min="7431" max="7431" width="9.140625" style="875" customWidth="1"/>
    <col min="7432" max="7432" width="14" style="875" bestFit="1" customWidth="1"/>
    <col min="7433" max="7433" width="14.85546875" style="875" customWidth="1"/>
    <col min="7434" max="7680" width="9.28515625" style="875"/>
    <col min="7681" max="7685" width="9.28515625" style="875" customWidth="1"/>
    <col min="7686" max="7686" width="6.85546875" style="875" customWidth="1"/>
    <col min="7687" max="7687" width="9.140625" style="875" customWidth="1"/>
    <col min="7688" max="7688" width="14" style="875" bestFit="1" customWidth="1"/>
    <col min="7689" max="7689" width="14.85546875" style="875" customWidth="1"/>
    <col min="7690" max="7936" width="9.28515625" style="875"/>
    <col min="7937" max="7941" width="9.28515625" style="875" customWidth="1"/>
    <col min="7942" max="7942" width="6.85546875" style="875" customWidth="1"/>
    <col min="7943" max="7943" width="9.140625" style="875" customWidth="1"/>
    <col min="7944" max="7944" width="14" style="875" bestFit="1" customWidth="1"/>
    <col min="7945" max="7945" width="14.85546875" style="875" customWidth="1"/>
    <col min="7946" max="8192" width="9.28515625" style="875"/>
    <col min="8193" max="8197" width="9.28515625" style="875" customWidth="1"/>
    <col min="8198" max="8198" width="6.85546875" style="875" customWidth="1"/>
    <col min="8199" max="8199" width="9.140625" style="875" customWidth="1"/>
    <col min="8200" max="8200" width="14" style="875" bestFit="1" customWidth="1"/>
    <col min="8201" max="8201" width="14.85546875" style="875" customWidth="1"/>
    <col min="8202" max="8448" width="9.28515625" style="875"/>
    <col min="8449" max="8453" width="9.28515625" style="875" customWidth="1"/>
    <col min="8454" max="8454" width="6.85546875" style="875" customWidth="1"/>
    <col min="8455" max="8455" width="9.140625" style="875" customWidth="1"/>
    <col min="8456" max="8456" width="14" style="875" bestFit="1" customWidth="1"/>
    <col min="8457" max="8457" width="14.85546875" style="875" customWidth="1"/>
    <col min="8458" max="8704" width="9.28515625" style="875"/>
    <col min="8705" max="8709" width="9.28515625" style="875" customWidth="1"/>
    <col min="8710" max="8710" width="6.85546875" style="875" customWidth="1"/>
    <col min="8711" max="8711" width="9.140625" style="875" customWidth="1"/>
    <col min="8712" max="8712" width="14" style="875" bestFit="1" customWidth="1"/>
    <col min="8713" max="8713" width="14.85546875" style="875" customWidth="1"/>
    <col min="8714" max="8960" width="9.28515625" style="875"/>
    <col min="8961" max="8965" width="9.28515625" style="875" customWidth="1"/>
    <col min="8966" max="8966" width="6.85546875" style="875" customWidth="1"/>
    <col min="8967" max="8967" width="9.140625" style="875" customWidth="1"/>
    <col min="8968" max="8968" width="14" style="875" bestFit="1" customWidth="1"/>
    <col min="8969" max="8969" width="14.85546875" style="875" customWidth="1"/>
    <col min="8970" max="9216" width="9.28515625" style="875"/>
    <col min="9217" max="9221" width="9.28515625" style="875" customWidth="1"/>
    <col min="9222" max="9222" width="6.85546875" style="875" customWidth="1"/>
    <col min="9223" max="9223" width="9.140625" style="875" customWidth="1"/>
    <col min="9224" max="9224" width="14" style="875" bestFit="1" customWidth="1"/>
    <col min="9225" max="9225" width="14.85546875" style="875" customWidth="1"/>
    <col min="9226" max="9472" width="9.28515625" style="875"/>
    <col min="9473" max="9477" width="9.28515625" style="875" customWidth="1"/>
    <col min="9478" max="9478" width="6.85546875" style="875" customWidth="1"/>
    <col min="9479" max="9479" width="9.140625" style="875" customWidth="1"/>
    <col min="9480" max="9480" width="14" style="875" bestFit="1" customWidth="1"/>
    <col min="9481" max="9481" width="14.85546875" style="875" customWidth="1"/>
    <col min="9482" max="9728" width="9.28515625" style="875"/>
    <col min="9729" max="9733" width="9.28515625" style="875" customWidth="1"/>
    <col min="9734" max="9734" width="6.85546875" style="875" customWidth="1"/>
    <col min="9735" max="9735" width="9.140625" style="875" customWidth="1"/>
    <col min="9736" max="9736" width="14" style="875" bestFit="1" customWidth="1"/>
    <col min="9737" max="9737" width="14.85546875" style="875" customWidth="1"/>
    <col min="9738" max="9984" width="9.28515625" style="875"/>
    <col min="9985" max="9989" width="9.28515625" style="875" customWidth="1"/>
    <col min="9990" max="9990" width="6.85546875" style="875" customWidth="1"/>
    <col min="9991" max="9991" width="9.140625" style="875" customWidth="1"/>
    <col min="9992" max="9992" width="14" style="875" bestFit="1" customWidth="1"/>
    <col min="9993" max="9993" width="14.85546875" style="875" customWidth="1"/>
    <col min="9994" max="10240" width="9.28515625" style="875"/>
    <col min="10241" max="10245" width="9.28515625" style="875" customWidth="1"/>
    <col min="10246" max="10246" width="6.85546875" style="875" customWidth="1"/>
    <col min="10247" max="10247" width="9.140625" style="875" customWidth="1"/>
    <col min="10248" max="10248" width="14" style="875" bestFit="1" customWidth="1"/>
    <col min="10249" max="10249" width="14.85546875" style="875" customWidth="1"/>
    <col min="10250" max="10496" width="9.28515625" style="875"/>
    <col min="10497" max="10501" width="9.28515625" style="875" customWidth="1"/>
    <col min="10502" max="10502" width="6.85546875" style="875" customWidth="1"/>
    <col min="10503" max="10503" width="9.140625" style="875" customWidth="1"/>
    <col min="10504" max="10504" width="14" style="875" bestFit="1" customWidth="1"/>
    <col min="10505" max="10505" width="14.85546875" style="875" customWidth="1"/>
    <col min="10506" max="10752" width="9.28515625" style="875"/>
    <col min="10753" max="10757" width="9.28515625" style="875" customWidth="1"/>
    <col min="10758" max="10758" width="6.85546875" style="875" customWidth="1"/>
    <col min="10759" max="10759" width="9.140625" style="875" customWidth="1"/>
    <col min="10760" max="10760" width="14" style="875" bestFit="1" customWidth="1"/>
    <col min="10761" max="10761" width="14.85546875" style="875" customWidth="1"/>
    <col min="10762" max="11008" width="9.28515625" style="875"/>
    <col min="11009" max="11013" width="9.28515625" style="875" customWidth="1"/>
    <col min="11014" max="11014" width="6.85546875" style="875" customWidth="1"/>
    <col min="11015" max="11015" width="9.140625" style="875" customWidth="1"/>
    <col min="11016" max="11016" width="14" style="875" bestFit="1" customWidth="1"/>
    <col min="11017" max="11017" width="14.85546875" style="875" customWidth="1"/>
    <col min="11018" max="11264" width="9.28515625" style="875"/>
    <col min="11265" max="11269" width="9.28515625" style="875" customWidth="1"/>
    <col min="11270" max="11270" width="6.85546875" style="875" customWidth="1"/>
    <col min="11271" max="11271" width="9.140625" style="875" customWidth="1"/>
    <col min="11272" max="11272" width="14" style="875" bestFit="1" customWidth="1"/>
    <col min="11273" max="11273" width="14.85546875" style="875" customWidth="1"/>
    <col min="11274" max="11520" width="9.28515625" style="875"/>
    <col min="11521" max="11525" width="9.28515625" style="875" customWidth="1"/>
    <col min="11526" max="11526" width="6.85546875" style="875" customWidth="1"/>
    <col min="11527" max="11527" width="9.140625" style="875" customWidth="1"/>
    <col min="11528" max="11528" width="14" style="875" bestFit="1" customWidth="1"/>
    <col min="11529" max="11529" width="14.85546875" style="875" customWidth="1"/>
    <col min="11530" max="11776" width="9.28515625" style="875"/>
    <col min="11777" max="11781" width="9.28515625" style="875" customWidth="1"/>
    <col min="11782" max="11782" width="6.85546875" style="875" customWidth="1"/>
    <col min="11783" max="11783" width="9.140625" style="875" customWidth="1"/>
    <col min="11784" max="11784" width="14" style="875" bestFit="1" customWidth="1"/>
    <col min="11785" max="11785" width="14.85546875" style="875" customWidth="1"/>
    <col min="11786" max="12032" width="9.28515625" style="875"/>
    <col min="12033" max="12037" width="9.28515625" style="875" customWidth="1"/>
    <col min="12038" max="12038" width="6.85546875" style="875" customWidth="1"/>
    <col min="12039" max="12039" width="9.140625" style="875" customWidth="1"/>
    <col min="12040" max="12040" width="14" style="875" bestFit="1" customWidth="1"/>
    <col min="12041" max="12041" width="14.85546875" style="875" customWidth="1"/>
    <col min="12042" max="12288" width="9.28515625" style="875"/>
    <col min="12289" max="12293" width="9.28515625" style="875" customWidth="1"/>
    <col min="12294" max="12294" width="6.85546875" style="875" customWidth="1"/>
    <col min="12295" max="12295" width="9.140625" style="875" customWidth="1"/>
    <col min="12296" max="12296" width="14" style="875" bestFit="1" customWidth="1"/>
    <col min="12297" max="12297" width="14.85546875" style="875" customWidth="1"/>
    <col min="12298" max="12544" width="9.28515625" style="875"/>
    <col min="12545" max="12549" width="9.28515625" style="875" customWidth="1"/>
    <col min="12550" max="12550" width="6.85546875" style="875" customWidth="1"/>
    <col min="12551" max="12551" width="9.140625" style="875" customWidth="1"/>
    <col min="12552" max="12552" width="14" style="875" bestFit="1" customWidth="1"/>
    <col min="12553" max="12553" width="14.85546875" style="875" customWidth="1"/>
    <col min="12554" max="12800" width="9.28515625" style="875"/>
    <col min="12801" max="12805" width="9.28515625" style="875" customWidth="1"/>
    <col min="12806" max="12806" width="6.85546875" style="875" customWidth="1"/>
    <col min="12807" max="12807" width="9.140625" style="875" customWidth="1"/>
    <col min="12808" max="12808" width="14" style="875" bestFit="1" customWidth="1"/>
    <col min="12809" max="12809" width="14.85546875" style="875" customWidth="1"/>
    <col min="12810" max="13056" width="9.28515625" style="875"/>
    <col min="13057" max="13061" width="9.28515625" style="875" customWidth="1"/>
    <col min="13062" max="13062" width="6.85546875" style="875" customWidth="1"/>
    <col min="13063" max="13063" width="9.140625" style="875" customWidth="1"/>
    <col min="13064" max="13064" width="14" style="875" bestFit="1" customWidth="1"/>
    <col min="13065" max="13065" width="14.85546875" style="875" customWidth="1"/>
    <col min="13066" max="13312" width="9.28515625" style="875"/>
    <col min="13313" max="13317" width="9.28515625" style="875" customWidth="1"/>
    <col min="13318" max="13318" width="6.85546875" style="875" customWidth="1"/>
    <col min="13319" max="13319" width="9.140625" style="875" customWidth="1"/>
    <col min="13320" max="13320" width="14" style="875" bestFit="1" customWidth="1"/>
    <col min="13321" max="13321" width="14.85546875" style="875" customWidth="1"/>
    <col min="13322" max="13568" width="9.28515625" style="875"/>
    <col min="13569" max="13573" width="9.28515625" style="875" customWidth="1"/>
    <col min="13574" max="13574" width="6.85546875" style="875" customWidth="1"/>
    <col min="13575" max="13575" width="9.140625" style="875" customWidth="1"/>
    <col min="13576" max="13576" width="14" style="875" bestFit="1" customWidth="1"/>
    <col min="13577" max="13577" width="14.85546875" style="875" customWidth="1"/>
    <col min="13578" max="13824" width="9.28515625" style="875"/>
    <col min="13825" max="13829" width="9.28515625" style="875" customWidth="1"/>
    <col min="13830" max="13830" width="6.85546875" style="875" customWidth="1"/>
    <col min="13831" max="13831" width="9.140625" style="875" customWidth="1"/>
    <col min="13832" max="13832" width="14" style="875" bestFit="1" customWidth="1"/>
    <col min="13833" max="13833" width="14.85546875" style="875" customWidth="1"/>
    <col min="13834" max="14080" width="9.28515625" style="875"/>
    <col min="14081" max="14085" width="9.28515625" style="875" customWidth="1"/>
    <col min="14086" max="14086" width="6.85546875" style="875" customWidth="1"/>
    <col min="14087" max="14087" width="9.140625" style="875" customWidth="1"/>
    <col min="14088" max="14088" width="14" style="875" bestFit="1" customWidth="1"/>
    <col min="14089" max="14089" width="14.85546875" style="875" customWidth="1"/>
    <col min="14090" max="14336" width="9.28515625" style="875"/>
    <col min="14337" max="14341" width="9.28515625" style="875" customWidth="1"/>
    <col min="14342" max="14342" width="6.85546875" style="875" customWidth="1"/>
    <col min="14343" max="14343" width="9.140625" style="875" customWidth="1"/>
    <col min="14344" max="14344" width="14" style="875" bestFit="1" customWidth="1"/>
    <col min="14345" max="14345" width="14.85546875" style="875" customWidth="1"/>
    <col min="14346" max="14592" width="9.28515625" style="875"/>
    <col min="14593" max="14597" width="9.28515625" style="875" customWidth="1"/>
    <col min="14598" max="14598" width="6.85546875" style="875" customWidth="1"/>
    <col min="14599" max="14599" width="9.140625" style="875" customWidth="1"/>
    <col min="14600" max="14600" width="14" style="875" bestFit="1" customWidth="1"/>
    <col min="14601" max="14601" width="14.85546875" style="875" customWidth="1"/>
    <col min="14602" max="14848" width="9.28515625" style="875"/>
    <col min="14849" max="14853" width="9.28515625" style="875" customWidth="1"/>
    <col min="14854" max="14854" width="6.85546875" style="875" customWidth="1"/>
    <col min="14855" max="14855" width="9.140625" style="875" customWidth="1"/>
    <col min="14856" max="14856" width="14" style="875" bestFit="1" customWidth="1"/>
    <col min="14857" max="14857" width="14.85546875" style="875" customWidth="1"/>
    <col min="14858" max="15104" width="9.28515625" style="875"/>
    <col min="15105" max="15109" width="9.28515625" style="875" customWidth="1"/>
    <col min="15110" max="15110" width="6.85546875" style="875" customWidth="1"/>
    <col min="15111" max="15111" width="9.140625" style="875" customWidth="1"/>
    <col min="15112" max="15112" width="14" style="875" bestFit="1" customWidth="1"/>
    <col min="15113" max="15113" width="14.85546875" style="875" customWidth="1"/>
    <col min="15114" max="15360" width="9.28515625" style="875"/>
    <col min="15361" max="15365" width="9.28515625" style="875" customWidth="1"/>
    <col min="15366" max="15366" width="6.85546875" style="875" customWidth="1"/>
    <col min="15367" max="15367" width="9.140625" style="875" customWidth="1"/>
    <col min="15368" max="15368" width="14" style="875" bestFit="1" customWidth="1"/>
    <col min="15369" max="15369" width="14.85546875" style="875" customWidth="1"/>
    <col min="15370" max="15616" width="9.28515625" style="875"/>
    <col min="15617" max="15621" width="9.28515625" style="875" customWidth="1"/>
    <col min="15622" max="15622" width="6.85546875" style="875" customWidth="1"/>
    <col min="15623" max="15623" width="9.140625" style="875" customWidth="1"/>
    <col min="15624" max="15624" width="14" style="875" bestFit="1" customWidth="1"/>
    <col min="15625" max="15625" width="14.85546875" style="875" customWidth="1"/>
    <col min="15626" max="15872" width="9.28515625" style="875"/>
    <col min="15873" max="15877" width="9.28515625" style="875" customWidth="1"/>
    <col min="15878" max="15878" width="6.85546875" style="875" customWidth="1"/>
    <col min="15879" max="15879" width="9.140625" style="875" customWidth="1"/>
    <col min="15880" max="15880" width="14" style="875" bestFit="1" customWidth="1"/>
    <col min="15881" max="15881" width="14.85546875" style="875" customWidth="1"/>
    <col min="15882" max="16128" width="9.28515625" style="875"/>
    <col min="16129" max="16133" width="9.28515625" style="875" customWidth="1"/>
    <col min="16134" max="16134" width="6.85546875" style="875" customWidth="1"/>
    <col min="16135" max="16135" width="9.140625" style="875" customWidth="1"/>
    <col min="16136" max="16136" width="14" style="875" bestFit="1" customWidth="1"/>
    <col min="16137" max="16137" width="14.85546875" style="875" customWidth="1"/>
    <col min="16138" max="16384" width="9.28515625" style="875"/>
  </cols>
  <sheetData>
    <row r="1" spans="1:15" ht="15.75">
      <c r="A1" s="872" t="s">
        <v>51</v>
      </c>
      <c r="B1" s="873"/>
      <c r="C1" s="873"/>
      <c r="D1" s="873"/>
      <c r="E1" s="873"/>
      <c r="F1" s="873"/>
      <c r="G1" s="873"/>
      <c r="H1" s="873"/>
      <c r="I1" s="874" t="s">
        <v>606</v>
      </c>
    </row>
    <row r="2" spans="1:15" ht="15.75">
      <c r="A2" s="876" t="s">
        <v>994</v>
      </c>
      <c r="B2" s="873"/>
      <c r="C2" s="873"/>
      <c r="D2" s="873"/>
      <c r="E2" s="873"/>
      <c r="F2" s="873"/>
      <c r="G2" s="873"/>
      <c r="H2" s="873"/>
      <c r="I2" s="874"/>
    </row>
    <row r="3" spans="1:15" ht="15.75">
      <c r="A3" s="877" t="str">
        <f>Control!B8</f>
        <v>2015-00000</v>
      </c>
    </row>
    <row r="4" spans="1:15">
      <c r="A4" s="878" t="s">
        <v>995</v>
      </c>
    </row>
    <row r="7" spans="1:15">
      <c r="A7" s="879" t="s">
        <v>43</v>
      </c>
      <c r="B7" s="880"/>
      <c r="C7" s="880"/>
      <c r="D7" s="880"/>
      <c r="E7" s="880"/>
      <c r="F7" s="880"/>
    </row>
    <row r="8" spans="1:15">
      <c r="A8" s="881" t="s">
        <v>42</v>
      </c>
      <c r="B8" s="882" t="s">
        <v>677</v>
      </c>
      <c r="C8" s="883"/>
      <c r="D8" s="883"/>
      <c r="E8" s="883"/>
      <c r="F8" s="884"/>
      <c r="G8" s="884"/>
      <c r="H8" s="884"/>
      <c r="I8" s="881" t="s">
        <v>676</v>
      </c>
    </row>
    <row r="10" spans="1:15">
      <c r="A10" s="885">
        <v>1</v>
      </c>
      <c r="B10" s="875" t="s">
        <v>1129</v>
      </c>
      <c r="I10" s="1057">
        <v>2666021.4700000002</v>
      </c>
    </row>
    <row r="11" spans="1:15">
      <c r="A11" s="885">
        <v>2</v>
      </c>
      <c r="B11" s="886" t="s">
        <v>996</v>
      </c>
      <c r="C11" s="886"/>
      <c r="D11" s="886"/>
      <c r="E11" s="886"/>
      <c r="I11" s="887">
        <f>PBR.1!H31</f>
        <v>-93722.120000000054</v>
      </c>
    </row>
    <row r="12" spans="1:15">
      <c r="A12" s="885">
        <v>3</v>
      </c>
      <c r="I12" s="934">
        <f>0</f>
        <v>0</v>
      </c>
    </row>
    <row r="13" spans="1:15">
      <c r="A13" s="885">
        <v>4</v>
      </c>
      <c r="B13" s="875" t="s">
        <v>245</v>
      </c>
      <c r="I13" s="888">
        <f>SUM(I10:I12)</f>
        <v>2572299.35</v>
      </c>
    </row>
    <row r="14" spans="1:15">
      <c r="A14" s="885">
        <v>5</v>
      </c>
      <c r="M14" s="889"/>
      <c r="N14" s="890"/>
      <c r="O14" s="890"/>
    </row>
    <row r="15" spans="1:15">
      <c r="A15" s="885">
        <v>6</v>
      </c>
      <c r="L15" s="891"/>
      <c r="M15" s="889"/>
      <c r="N15" s="889"/>
      <c r="O15" s="890"/>
    </row>
    <row r="16" spans="1:15">
      <c r="A16" s="885">
        <v>7</v>
      </c>
      <c r="B16" s="875" t="s">
        <v>245</v>
      </c>
      <c r="I16" s="888">
        <f>I13</f>
        <v>2572299.35</v>
      </c>
      <c r="L16" s="891"/>
      <c r="M16" s="889"/>
      <c r="N16" s="889"/>
      <c r="O16" s="890"/>
    </row>
    <row r="17" spans="1:15">
      <c r="A17" s="885">
        <v>8</v>
      </c>
      <c r="B17" s="875" t="s">
        <v>997</v>
      </c>
      <c r="I17" s="933">
        <v>0</v>
      </c>
      <c r="L17" s="891"/>
      <c r="M17" s="889"/>
      <c r="N17" s="889"/>
      <c r="O17" s="890"/>
    </row>
    <row r="18" spans="1:15" ht="13.5" thickBot="1">
      <c r="A18" s="885">
        <v>9</v>
      </c>
      <c r="B18" s="875" t="s">
        <v>673</v>
      </c>
      <c r="I18" s="892">
        <f>SUM(I16:I17)</f>
        <v>2572299.35</v>
      </c>
      <c r="L18" s="891"/>
      <c r="M18" s="890"/>
      <c r="N18" s="890"/>
      <c r="O18" s="890"/>
    </row>
    <row r="19" spans="1:15" ht="13.5" thickTop="1">
      <c r="A19" s="885">
        <v>10</v>
      </c>
      <c r="M19" s="890"/>
      <c r="N19" s="890"/>
      <c r="O19" s="890"/>
    </row>
    <row r="20" spans="1:15">
      <c r="A20" s="885">
        <v>11</v>
      </c>
      <c r="M20" s="890"/>
      <c r="N20" s="890"/>
      <c r="O20" s="890"/>
    </row>
    <row r="21" spans="1:15">
      <c r="A21" s="885">
        <v>12</v>
      </c>
      <c r="H21" s="893"/>
    </row>
    <row r="22" spans="1:15">
      <c r="A22" s="885">
        <v>13</v>
      </c>
      <c r="B22" s="894" t="s">
        <v>286</v>
      </c>
      <c r="C22" s="884"/>
      <c r="D22" s="884"/>
      <c r="E22" s="884"/>
      <c r="F22" s="884"/>
      <c r="H22" s="895" t="s">
        <v>245</v>
      </c>
    </row>
    <row r="23" spans="1:15" ht="13.5" customHeight="1">
      <c r="A23" s="885">
        <v>14</v>
      </c>
    </row>
    <row r="24" spans="1:15">
      <c r="A24" s="885">
        <v>15</v>
      </c>
      <c r="B24" s="875" t="s">
        <v>998</v>
      </c>
      <c r="H24" s="896">
        <f>I18</f>
        <v>2572299.35</v>
      </c>
    </row>
    <row r="25" spans="1:15">
      <c r="A25" s="885">
        <v>16</v>
      </c>
    </row>
    <row r="26" spans="1:15">
      <c r="A26" s="885">
        <v>17</v>
      </c>
      <c r="B26" s="894" t="s">
        <v>999</v>
      </c>
      <c r="C26" s="884"/>
      <c r="D26" s="884"/>
      <c r="E26" s="884"/>
      <c r="F26" s="884"/>
    </row>
    <row r="27" spans="1:15" ht="13.5" customHeight="1">
      <c r="A27" s="885">
        <v>18</v>
      </c>
      <c r="B27" s="897"/>
      <c r="C27" s="891"/>
      <c r="D27" s="891"/>
      <c r="E27" s="891"/>
      <c r="F27" s="891"/>
    </row>
    <row r="28" spans="1:15">
      <c r="A28" s="885">
        <v>19</v>
      </c>
      <c r="B28" s="875" t="s">
        <v>658</v>
      </c>
    </row>
    <row r="29" spans="1:15">
      <c r="A29" s="885">
        <v>20</v>
      </c>
      <c r="B29" s="875" t="s">
        <v>1000</v>
      </c>
      <c r="H29" s="898">
        <f>B.6!E17</f>
        <v>0.155</v>
      </c>
    </row>
    <row r="30" spans="1:15">
      <c r="A30" s="885">
        <v>21</v>
      </c>
      <c r="B30" s="875" t="s">
        <v>654</v>
      </c>
    </row>
    <row r="31" spans="1:15">
      <c r="A31" s="885">
        <v>22</v>
      </c>
      <c r="B31" s="875" t="s">
        <v>652</v>
      </c>
      <c r="H31" s="898">
        <f>1-H29</f>
        <v>0.84499999999999997</v>
      </c>
    </row>
    <row r="32" spans="1:15">
      <c r="A32" s="885">
        <v>23</v>
      </c>
      <c r="B32" s="875" t="s">
        <v>651</v>
      </c>
    </row>
    <row r="33" spans="1:9">
      <c r="A33" s="885">
        <v>24</v>
      </c>
      <c r="B33" s="875" t="s">
        <v>1001</v>
      </c>
      <c r="H33" s="875">
        <f>+B.6!E26</f>
        <v>16617444</v>
      </c>
    </row>
    <row r="34" spans="1:9">
      <c r="A34" s="885">
        <v>25</v>
      </c>
      <c r="B34" s="875" t="s">
        <v>647</v>
      </c>
    </row>
    <row r="35" spans="1:9">
      <c r="A35" s="885">
        <v>26</v>
      </c>
      <c r="B35" s="875" t="s">
        <v>1002</v>
      </c>
      <c r="H35" s="875">
        <f>+B.6!F35</f>
        <v>16849112</v>
      </c>
    </row>
    <row r="36" spans="1:9">
      <c r="A36" s="885">
        <v>27</v>
      </c>
    </row>
    <row r="37" spans="1:9" ht="13.5" thickBot="1">
      <c r="A37" s="885">
        <v>28</v>
      </c>
    </row>
    <row r="38" spans="1:9" ht="13.5" thickBot="1">
      <c r="A38" s="885">
        <v>29</v>
      </c>
      <c r="B38" s="875" t="s">
        <v>1003</v>
      </c>
      <c r="G38" s="899">
        <f>H24/H35</f>
        <v>0.15266676071712265</v>
      </c>
      <c r="H38" s="900" t="s">
        <v>624</v>
      </c>
      <c r="I38" s="898"/>
    </row>
    <row r="39" spans="1:9" ht="13.5" thickBot="1">
      <c r="A39" s="885">
        <v>30</v>
      </c>
      <c r="G39" s="901"/>
      <c r="H39" s="902"/>
    </row>
    <row r="40" spans="1:9" ht="13.5" thickBot="1">
      <c r="A40" s="885">
        <v>31</v>
      </c>
      <c r="B40" s="875" t="s">
        <v>1004</v>
      </c>
      <c r="G40" s="899">
        <f>H24/H35</f>
        <v>0.15266676071712265</v>
      </c>
      <c r="H40" s="900" t="s">
        <v>624</v>
      </c>
    </row>
    <row r="41" spans="1:9">
      <c r="A41" s="885"/>
    </row>
  </sheetData>
  <pageMargins left="0.6" right="0.24" top="0.5" bottom="0" header="0" footer="0"/>
  <pageSetup scale="95" orientation="portrait" r:id="rId1"/>
  <headerFooter alignWithMargins="0"/>
  <customProperties>
    <customPr name="_pios_id" r:id="rId2"/>
  </customProperties>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P55"/>
  <sheetViews>
    <sheetView showGridLines="0" zoomScale="80" zoomScaleNormal="80" zoomScalePageLayoutView="70" workbookViewId="0">
      <selection activeCell="E33" sqref="E33"/>
    </sheetView>
  </sheetViews>
  <sheetFormatPr defaultRowHeight="12.75"/>
  <cols>
    <col min="1" max="1" width="5.7109375" style="903" customWidth="1"/>
    <col min="2" max="2" width="9.7109375" style="903" customWidth="1"/>
    <col min="3" max="7" width="14.7109375" style="903" customWidth="1"/>
    <col min="8" max="8" width="16.28515625" style="903" customWidth="1"/>
    <col min="9" max="9" width="2.7109375" style="903" customWidth="1"/>
    <col min="10" max="11" width="15.140625" style="903" customWidth="1"/>
    <col min="12" max="12" width="15.7109375" style="903" customWidth="1"/>
    <col min="13" max="13" width="13.140625" style="903" bestFit="1" customWidth="1"/>
    <col min="14" max="14" width="9.140625" style="903"/>
    <col min="15" max="15" width="11.28515625" style="903" bestFit="1" customWidth="1"/>
    <col min="16" max="16" width="12.85546875" style="903" bestFit="1" customWidth="1"/>
    <col min="17" max="256" width="9.140625" style="903"/>
    <col min="257" max="257" width="5.7109375" style="903" customWidth="1"/>
    <col min="258" max="258" width="9.7109375" style="903" customWidth="1"/>
    <col min="259" max="263" width="14.7109375" style="903" customWidth="1"/>
    <col min="264" max="264" width="16.28515625" style="903" customWidth="1"/>
    <col min="265" max="265" width="2.7109375" style="903" customWidth="1"/>
    <col min="266" max="267" width="15.140625" style="903" customWidth="1"/>
    <col min="268" max="268" width="15.7109375" style="903" customWidth="1"/>
    <col min="269" max="269" width="12.28515625" style="903" bestFit="1" customWidth="1"/>
    <col min="270" max="270" width="9.140625" style="903"/>
    <col min="271" max="271" width="11.28515625" style="903" bestFit="1" customWidth="1"/>
    <col min="272" max="272" width="12.85546875" style="903" bestFit="1" customWidth="1"/>
    <col min="273" max="512" width="9.140625" style="903"/>
    <col min="513" max="513" width="5.7109375" style="903" customWidth="1"/>
    <col min="514" max="514" width="9.7109375" style="903" customWidth="1"/>
    <col min="515" max="519" width="14.7109375" style="903" customWidth="1"/>
    <col min="520" max="520" width="16.28515625" style="903" customWidth="1"/>
    <col min="521" max="521" width="2.7109375" style="903" customWidth="1"/>
    <col min="522" max="523" width="15.140625" style="903" customWidth="1"/>
    <col min="524" max="524" width="15.7109375" style="903" customWidth="1"/>
    <col min="525" max="525" width="12.28515625" style="903" bestFit="1" customWidth="1"/>
    <col min="526" max="526" width="9.140625" style="903"/>
    <col min="527" max="527" width="11.28515625" style="903" bestFit="1" customWidth="1"/>
    <col min="528" max="528" width="12.85546875" style="903" bestFit="1" customWidth="1"/>
    <col min="529" max="768" width="9.140625" style="903"/>
    <col min="769" max="769" width="5.7109375" style="903" customWidth="1"/>
    <col min="770" max="770" width="9.7109375" style="903" customWidth="1"/>
    <col min="771" max="775" width="14.7109375" style="903" customWidth="1"/>
    <col min="776" max="776" width="16.28515625" style="903" customWidth="1"/>
    <col min="777" max="777" width="2.7109375" style="903" customWidth="1"/>
    <col min="778" max="779" width="15.140625" style="903" customWidth="1"/>
    <col min="780" max="780" width="15.7109375" style="903" customWidth="1"/>
    <col min="781" max="781" width="12.28515625" style="903" bestFit="1" customWidth="1"/>
    <col min="782" max="782" width="9.140625" style="903"/>
    <col min="783" max="783" width="11.28515625" style="903" bestFit="1" customWidth="1"/>
    <col min="784" max="784" width="12.85546875" style="903" bestFit="1" customWidth="1"/>
    <col min="785" max="1024" width="9.140625" style="903"/>
    <col min="1025" max="1025" width="5.7109375" style="903" customWidth="1"/>
    <col min="1026" max="1026" width="9.7109375" style="903" customWidth="1"/>
    <col min="1027" max="1031" width="14.7109375" style="903" customWidth="1"/>
    <col min="1032" max="1032" width="16.28515625" style="903" customWidth="1"/>
    <col min="1033" max="1033" width="2.7109375" style="903" customWidth="1"/>
    <col min="1034" max="1035" width="15.140625" style="903" customWidth="1"/>
    <col min="1036" max="1036" width="15.7109375" style="903" customWidth="1"/>
    <col min="1037" max="1037" width="12.28515625" style="903" bestFit="1" customWidth="1"/>
    <col min="1038" max="1038" width="9.140625" style="903"/>
    <col min="1039" max="1039" width="11.28515625" style="903" bestFit="1" customWidth="1"/>
    <col min="1040" max="1040" width="12.85546875" style="903" bestFit="1" customWidth="1"/>
    <col min="1041" max="1280" width="9.140625" style="903"/>
    <col min="1281" max="1281" width="5.7109375" style="903" customWidth="1"/>
    <col min="1282" max="1282" width="9.7109375" style="903" customWidth="1"/>
    <col min="1283" max="1287" width="14.7109375" style="903" customWidth="1"/>
    <col min="1288" max="1288" width="16.28515625" style="903" customWidth="1"/>
    <col min="1289" max="1289" width="2.7109375" style="903" customWidth="1"/>
    <col min="1290" max="1291" width="15.140625" style="903" customWidth="1"/>
    <col min="1292" max="1292" width="15.7109375" style="903" customWidth="1"/>
    <col min="1293" max="1293" width="12.28515625" style="903" bestFit="1" customWidth="1"/>
    <col min="1294" max="1294" width="9.140625" style="903"/>
    <col min="1295" max="1295" width="11.28515625" style="903" bestFit="1" customWidth="1"/>
    <col min="1296" max="1296" width="12.85546875" style="903" bestFit="1" customWidth="1"/>
    <col min="1297" max="1536" width="9.140625" style="903"/>
    <col min="1537" max="1537" width="5.7109375" style="903" customWidth="1"/>
    <col min="1538" max="1538" width="9.7109375" style="903" customWidth="1"/>
    <col min="1539" max="1543" width="14.7109375" style="903" customWidth="1"/>
    <col min="1544" max="1544" width="16.28515625" style="903" customWidth="1"/>
    <col min="1545" max="1545" width="2.7109375" style="903" customWidth="1"/>
    <col min="1546" max="1547" width="15.140625" style="903" customWidth="1"/>
    <col min="1548" max="1548" width="15.7109375" style="903" customWidth="1"/>
    <col min="1549" max="1549" width="12.28515625" style="903" bestFit="1" customWidth="1"/>
    <col min="1550" max="1550" width="9.140625" style="903"/>
    <col min="1551" max="1551" width="11.28515625" style="903" bestFit="1" customWidth="1"/>
    <col min="1552" max="1552" width="12.85546875" style="903" bestFit="1" customWidth="1"/>
    <col min="1553" max="1792" width="9.140625" style="903"/>
    <col min="1793" max="1793" width="5.7109375" style="903" customWidth="1"/>
    <col min="1794" max="1794" width="9.7109375" style="903" customWidth="1"/>
    <col min="1795" max="1799" width="14.7109375" style="903" customWidth="1"/>
    <col min="1800" max="1800" width="16.28515625" style="903" customWidth="1"/>
    <col min="1801" max="1801" width="2.7109375" style="903" customWidth="1"/>
    <col min="1802" max="1803" width="15.140625" style="903" customWidth="1"/>
    <col min="1804" max="1804" width="15.7109375" style="903" customWidth="1"/>
    <col min="1805" max="1805" width="12.28515625" style="903" bestFit="1" customWidth="1"/>
    <col min="1806" max="1806" width="9.140625" style="903"/>
    <col min="1807" max="1807" width="11.28515625" style="903" bestFit="1" customWidth="1"/>
    <col min="1808" max="1808" width="12.85546875" style="903" bestFit="1" customWidth="1"/>
    <col min="1809" max="2048" width="9.140625" style="903"/>
    <col min="2049" max="2049" width="5.7109375" style="903" customWidth="1"/>
    <col min="2050" max="2050" width="9.7109375" style="903" customWidth="1"/>
    <col min="2051" max="2055" width="14.7109375" style="903" customWidth="1"/>
    <col min="2056" max="2056" width="16.28515625" style="903" customWidth="1"/>
    <col min="2057" max="2057" width="2.7109375" style="903" customWidth="1"/>
    <col min="2058" max="2059" width="15.140625" style="903" customWidth="1"/>
    <col min="2060" max="2060" width="15.7109375" style="903" customWidth="1"/>
    <col min="2061" max="2061" width="12.28515625" style="903" bestFit="1" customWidth="1"/>
    <col min="2062" max="2062" width="9.140625" style="903"/>
    <col min="2063" max="2063" width="11.28515625" style="903" bestFit="1" customWidth="1"/>
    <col min="2064" max="2064" width="12.85546875" style="903" bestFit="1" customWidth="1"/>
    <col min="2065" max="2304" width="9.140625" style="903"/>
    <col min="2305" max="2305" width="5.7109375" style="903" customWidth="1"/>
    <col min="2306" max="2306" width="9.7109375" style="903" customWidth="1"/>
    <col min="2307" max="2311" width="14.7109375" style="903" customWidth="1"/>
    <col min="2312" max="2312" width="16.28515625" style="903" customWidth="1"/>
    <col min="2313" max="2313" width="2.7109375" style="903" customWidth="1"/>
    <col min="2314" max="2315" width="15.140625" style="903" customWidth="1"/>
    <col min="2316" max="2316" width="15.7109375" style="903" customWidth="1"/>
    <col min="2317" max="2317" width="12.28515625" style="903" bestFit="1" customWidth="1"/>
    <col min="2318" max="2318" width="9.140625" style="903"/>
    <col min="2319" max="2319" width="11.28515625" style="903" bestFit="1" customWidth="1"/>
    <col min="2320" max="2320" width="12.85546875" style="903" bestFit="1" customWidth="1"/>
    <col min="2321" max="2560" width="9.140625" style="903"/>
    <col min="2561" max="2561" width="5.7109375" style="903" customWidth="1"/>
    <col min="2562" max="2562" width="9.7109375" style="903" customWidth="1"/>
    <col min="2563" max="2567" width="14.7109375" style="903" customWidth="1"/>
    <col min="2568" max="2568" width="16.28515625" style="903" customWidth="1"/>
    <col min="2569" max="2569" width="2.7109375" style="903" customWidth="1"/>
    <col min="2570" max="2571" width="15.140625" style="903" customWidth="1"/>
    <col min="2572" max="2572" width="15.7109375" style="903" customWidth="1"/>
    <col min="2573" max="2573" width="12.28515625" style="903" bestFit="1" customWidth="1"/>
    <col min="2574" max="2574" width="9.140625" style="903"/>
    <col min="2575" max="2575" width="11.28515625" style="903" bestFit="1" customWidth="1"/>
    <col min="2576" max="2576" width="12.85546875" style="903" bestFit="1" customWidth="1"/>
    <col min="2577" max="2816" width="9.140625" style="903"/>
    <col min="2817" max="2817" width="5.7109375" style="903" customWidth="1"/>
    <col min="2818" max="2818" width="9.7109375" style="903" customWidth="1"/>
    <col min="2819" max="2823" width="14.7109375" style="903" customWidth="1"/>
    <col min="2824" max="2824" width="16.28515625" style="903" customWidth="1"/>
    <col min="2825" max="2825" width="2.7109375" style="903" customWidth="1"/>
    <col min="2826" max="2827" width="15.140625" style="903" customWidth="1"/>
    <col min="2828" max="2828" width="15.7109375" style="903" customWidth="1"/>
    <col min="2829" max="2829" width="12.28515625" style="903" bestFit="1" customWidth="1"/>
    <col min="2830" max="2830" width="9.140625" style="903"/>
    <col min="2831" max="2831" width="11.28515625" style="903" bestFit="1" customWidth="1"/>
    <col min="2832" max="2832" width="12.85546875" style="903" bestFit="1" customWidth="1"/>
    <col min="2833" max="3072" width="9.140625" style="903"/>
    <col min="3073" max="3073" width="5.7109375" style="903" customWidth="1"/>
    <col min="3074" max="3074" width="9.7109375" style="903" customWidth="1"/>
    <col min="3075" max="3079" width="14.7109375" style="903" customWidth="1"/>
    <col min="3080" max="3080" width="16.28515625" style="903" customWidth="1"/>
    <col min="3081" max="3081" width="2.7109375" style="903" customWidth="1"/>
    <col min="3082" max="3083" width="15.140625" style="903" customWidth="1"/>
    <col min="3084" max="3084" width="15.7109375" style="903" customWidth="1"/>
    <col min="3085" max="3085" width="12.28515625" style="903" bestFit="1" customWidth="1"/>
    <col min="3086" max="3086" width="9.140625" style="903"/>
    <col min="3087" max="3087" width="11.28515625" style="903" bestFit="1" customWidth="1"/>
    <col min="3088" max="3088" width="12.85546875" style="903" bestFit="1" customWidth="1"/>
    <col min="3089" max="3328" width="9.140625" style="903"/>
    <col min="3329" max="3329" width="5.7109375" style="903" customWidth="1"/>
    <col min="3330" max="3330" width="9.7109375" style="903" customWidth="1"/>
    <col min="3331" max="3335" width="14.7109375" style="903" customWidth="1"/>
    <col min="3336" max="3336" width="16.28515625" style="903" customWidth="1"/>
    <col min="3337" max="3337" width="2.7109375" style="903" customWidth="1"/>
    <col min="3338" max="3339" width="15.140625" style="903" customWidth="1"/>
    <col min="3340" max="3340" width="15.7109375" style="903" customWidth="1"/>
    <col min="3341" max="3341" width="12.28515625" style="903" bestFit="1" customWidth="1"/>
    <col min="3342" max="3342" width="9.140625" style="903"/>
    <col min="3343" max="3343" width="11.28515625" style="903" bestFit="1" customWidth="1"/>
    <col min="3344" max="3344" width="12.85546875" style="903" bestFit="1" customWidth="1"/>
    <col min="3345" max="3584" width="9.140625" style="903"/>
    <col min="3585" max="3585" width="5.7109375" style="903" customWidth="1"/>
    <col min="3586" max="3586" width="9.7109375" style="903" customWidth="1"/>
    <col min="3587" max="3591" width="14.7109375" style="903" customWidth="1"/>
    <col min="3592" max="3592" width="16.28515625" style="903" customWidth="1"/>
    <col min="3593" max="3593" width="2.7109375" style="903" customWidth="1"/>
    <col min="3594" max="3595" width="15.140625" style="903" customWidth="1"/>
    <col min="3596" max="3596" width="15.7109375" style="903" customWidth="1"/>
    <col min="3597" max="3597" width="12.28515625" style="903" bestFit="1" customWidth="1"/>
    <col min="3598" max="3598" width="9.140625" style="903"/>
    <col min="3599" max="3599" width="11.28515625" style="903" bestFit="1" customWidth="1"/>
    <col min="3600" max="3600" width="12.85546875" style="903" bestFit="1" customWidth="1"/>
    <col min="3601" max="3840" width="9.140625" style="903"/>
    <col min="3841" max="3841" width="5.7109375" style="903" customWidth="1"/>
    <col min="3842" max="3842" width="9.7109375" style="903" customWidth="1"/>
    <col min="3843" max="3847" width="14.7109375" style="903" customWidth="1"/>
    <col min="3848" max="3848" width="16.28515625" style="903" customWidth="1"/>
    <col min="3849" max="3849" width="2.7109375" style="903" customWidth="1"/>
    <col min="3850" max="3851" width="15.140625" style="903" customWidth="1"/>
    <col min="3852" max="3852" width="15.7109375" style="903" customWidth="1"/>
    <col min="3853" max="3853" width="12.28515625" style="903" bestFit="1" customWidth="1"/>
    <col min="3854" max="3854" width="9.140625" style="903"/>
    <col min="3855" max="3855" width="11.28515625" style="903" bestFit="1" customWidth="1"/>
    <col min="3856" max="3856" width="12.85546875" style="903" bestFit="1" customWidth="1"/>
    <col min="3857" max="4096" width="9.140625" style="903"/>
    <col min="4097" max="4097" width="5.7109375" style="903" customWidth="1"/>
    <col min="4098" max="4098" width="9.7109375" style="903" customWidth="1"/>
    <col min="4099" max="4103" width="14.7109375" style="903" customWidth="1"/>
    <col min="4104" max="4104" width="16.28515625" style="903" customWidth="1"/>
    <col min="4105" max="4105" width="2.7109375" style="903" customWidth="1"/>
    <col min="4106" max="4107" width="15.140625" style="903" customWidth="1"/>
    <col min="4108" max="4108" width="15.7109375" style="903" customWidth="1"/>
    <col min="4109" max="4109" width="12.28515625" style="903" bestFit="1" customWidth="1"/>
    <col min="4110" max="4110" width="9.140625" style="903"/>
    <col min="4111" max="4111" width="11.28515625" style="903" bestFit="1" customWidth="1"/>
    <col min="4112" max="4112" width="12.85546875" style="903" bestFit="1" customWidth="1"/>
    <col min="4113" max="4352" width="9.140625" style="903"/>
    <col min="4353" max="4353" width="5.7109375" style="903" customWidth="1"/>
    <col min="4354" max="4354" width="9.7109375" style="903" customWidth="1"/>
    <col min="4355" max="4359" width="14.7109375" style="903" customWidth="1"/>
    <col min="4360" max="4360" width="16.28515625" style="903" customWidth="1"/>
    <col min="4361" max="4361" width="2.7109375" style="903" customWidth="1"/>
    <col min="4362" max="4363" width="15.140625" style="903" customWidth="1"/>
    <col min="4364" max="4364" width="15.7109375" style="903" customWidth="1"/>
    <col min="4365" max="4365" width="12.28515625" style="903" bestFit="1" customWidth="1"/>
    <col min="4366" max="4366" width="9.140625" style="903"/>
    <col min="4367" max="4367" width="11.28515625" style="903" bestFit="1" customWidth="1"/>
    <col min="4368" max="4368" width="12.85546875" style="903" bestFit="1" customWidth="1"/>
    <col min="4369" max="4608" width="9.140625" style="903"/>
    <col min="4609" max="4609" width="5.7109375" style="903" customWidth="1"/>
    <col min="4610" max="4610" width="9.7109375" style="903" customWidth="1"/>
    <col min="4611" max="4615" width="14.7109375" style="903" customWidth="1"/>
    <col min="4616" max="4616" width="16.28515625" style="903" customWidth="1"/>
    <col min="4617" max="4617" width="2.7109375" style="903" customWidth="1"/>
    <col min="4618" max="4619" width="15.140625" style="903" customWidth="1"/>
    <col min="4620" max="4620" width="15.7109375" style="903" customWidth="1"/>
    <col min="4621" max="4621" width="12.28515625" style="903" bestFit="1" customWidth="1"/>
    <col min="4622" max="4622" width="9.140625" style="903"/>
    <col min="4623" max="4623" width="11.28515625" style="903" bestFit="1" customWidth="1"/>
    <col min="4624" max="4624" width="12.85546875" style="903" bestFit="1" customWidth="1"/>
    <col min="4625" max="4864" width="9.140625" style="903"/>
    <col min="4865" max="4865" width="5.7109375" style="903" customWidth="1"/>
    <col min="4866" max="4866" width="9.7109375" style="903" customWidth="1"/>
    <col min="4867" max="4871" width="14.7109375" style="903" customWidth="1"/>
    <col min="4872" max="4872" width="16.28515625" style="903" customWidth="1"/>
    <col min="4873" max="4873" width="2.7109375" style="903" customWidth="1"/>
    <col min="4874" max="4875" width="15.140625" style="903" customWidth="1"/>
    <col min="4876" max="4876" width="15.7109375" style="903" customWidth="1"/>
    <col min="4877" max="4877" width="12.28515625" style="903" bestFit="1" customWidth="1"/>
    <col min="4878" max="4878" width="9.140625" style="903"/>
    <col min="4879" max="4879" width="11.28515625" style="903" bestFit="1" customWidth="1"/>
    <col min="4880" max="4880" width="12.85546875" style="903" bestFit="1" customWidth="1"/>
    <col min="4881" max="5120" width="9.140625" style="903"/>
    <col min="5121" max="5121" width="5.7109375" style="903" customWidth="1"/>
    <col min="5122" max="5122" width="9.7109375" style="903" customWidth="1"/>
    <col min="5123" max="5127" width="14.7109375" style="903" customWidth="1"/>
    <col min="5128" max="5128" width="16.28515625" style="903" customWidth="1"/>
    <col min="5129" max="5129" width="2.7109375" style="903" customWidth="1"/>
    <col min="5130" max="5131" width="15.140625" style="903" customWidth="1"/>
    <col min="5132" max="5132" width="15.7109375" style="903" customWidth="1"/>
    <col min="5133" max="5133" width="12.28515625" style="903" bestFit="1" customWidth="1"/>
    <col min="5134" max="5134" width="9.140625" style="903"/>
    <col min="5135" max="5135" width="11.28515625" style="903" bestFit="1" customWidth="1"/>
    <col min="5136" max="5136" width="12.85546875" style="903" bestFit="1" customWidth="1"/>
    <col min="5137" max="5376" width="9.140625" style="903"/>
    <col min="5377" max="5377" width="5.7109375" style="903" customWidth="1"/>
    <col min="5378" max="5378" width="9.7109375" style="903" customWidth="1"/>
    <col min="5379" max="5383" width="14.7109375" style="903" customWidth="1"/>
    <col min="5384" max="5384" width="16.28515625" style="903" customWidth="1"/>
    <col min="5385" max="5385" width="2.7109375" style="903" customWidth="1"/>
    <col min="5386" max="5387" width="15.140625" style="903" customWidth="1"/>
    <col min="5388" max="5388" width="15.7109375" style="903" customWidth="1"/>
    <col min="5389" max="5389" width="12.28515625" style="903" bestFit="1" customWidth="1"/>
    <col min="5390" max="5390" width="9.140625" style="903"/>
    <col min="5391" max="5391" width="11.28515625" style="903" bestFit="1" customWidth="1"/>
    <col min="5392" max="5392" width="12.85546875" style="903" bestFit="1" customWidth="1"/>
    <col min="5393" max="5632" width="9.140625" style="903"/>
    <col min="5633" max="5633" width="5.7109375" style="903" customWidth="1"/>
    <col min="5634" max="5634" width="9.7109375" style="903" customWidth="1"/>
    <col min="5635" max="5639" width="14.7109375" style="903" customWidth="1"/>
    <col min="5640" max="5640" width="16.28515625" style="903" customWidth="1"/>
    <col min="5641" max="5641" width="2.7109375" style="903" customWidth="1"/>
    <col min="5642" max="5643" width="15.140625" style="903" customWidth="1"/>
    <col min="5644" max="5644" width="15.7109375" style="903" customWidth="1"/>
    <col min="5645" max="5645" width="12.28515625" style="903" bestFit="1" customWidth="1"/>
    <col min="5646" max="5646" width="9.140625" style="903"/>
    <col min="5647" max="5647" width="11.28515625" style="903" bestFit="1" customWidth="1"/>
    <col min="5648" max="5648" width="12.85546875" style="903" bestFit="1" customWidth="1"/>
    <col min="5649" max="5888" width="9.140625" style="903"/>
    <col min="5889" max="5889" width="5.7109375" style="903" customWidth="1"/>
    <col min="5890" max="5890" width="9.7109375" style="903" customWidth="1"/>
    <col min="5891" max="5895" width="14.7109375" style="903" customWidth="1"/>
    <col min="5896" max="5896" width="16.28515625" style="903" customWidth="1"/>
    <col min="5897" max="5897" width="2.7109375" style="903" customWidth="1"/>
    <col min="5898" max="5899" width="15.140625" style="903" customWidth="1"/>
    <col min="5900" max="5900" width="15.7109375" style="903" customWidth="1"/>
    <col min="5901" max="5901" width="12.28515625" style="903" bestFit="1" customWidth="1"/>
    <col min="5902" max="5902" width="9.140625" style="903"/>
    <col min="5903" max="5903" width="11.28515625" style="903" bestFit="1" customWidth="1"/>
    <col min="5904" max="5904" width="12.85546875" style="903" bestFit="1" customWidth="1"/>
    <col min="5905" max="6144" width="9.140625" style="903"/>
    <col min="6145" max="6145" width="5.7109375" style="903" customWidth="1"/>
    <col min="6146" max="6146" width="9.7109375" style="903" customWidth="1"/>
    <col min="6147" max="6151" width="14.7109375" style="903" customWidth="1"/>
    <col min="6152" max="6152" width="16.28515625" style="903" customWidth="1"/>
    <col min="6153" max="6153" width="2.7109375" style="903" customWidth="1"/>
    <col min="6154" max="6155" width="15.140625" style="903" customWidth="1"/>
    <col min="6156" max="6156" width="15.7109375" style="903" customWidth="1"/>
    <col min="6157" max="6157" width="12.28515625" style="903" bestFit="1" customWidth="1"/>
    <col min="6158" max="6158" width="9.140625" style="903"/>
    <col min="6159" max="6159" width="11.28515625" style="903" bestFit="1" customWidth="1"/>
    <col min="6160" max="6160" width="12.85546875" style="903" bestFit="1" customWidth="1"/>
    <col min="6161" max="6400" width="9.140625" style="903"/>
    <col min="6401" max="6401" width="5.7109375" style="903" customWidth="1"/>
    <col min="6402" max="6402" width="9.7109375" style="903" customWidth="1"/>
    <col min="6403" max="6407" width="14.7109375" style="903" customWidth="1"/>
    <col min="6408" max="6408" width="16.28515625" style="903" customWidth="1"/>
    <col min="6409" max="6409" width="2.7109375" style="903" customWidth="1"/>
    <col min="6410" max="6411" width="15.140625" style="903" customWidth="1"/>
    <col min="6412" max="6412" width="15.7109375" style="903" customWidth="1"/>
    <col min="6413" max="6413" width="12.28515625" style="903" bestFit="1" customWidth="1"/>
    <col min="6414" max="6414" width="9.140625" style="903"/>
    <col min="6415" max="6415" width="11.28515625" style="903" bestFit="1" customWidth="1"/>
    <col min="6416" max="6416" width="12.85546875" style="903" bestFit="1" customWidth="1"/>
    <col min="6417" max="6656" width="9.140625" style="903"/>
    <col min="6657" max="6657" width="5.7109375" style="903" customWidth="1"/>
    <col min="6658" max="6658" width="9.7109375" style="903" customWidth="1"/>
    <col min="6659" max="6663" width="14.7109375" style="903" customWidth="1"/>
    <col min="6664" max="6664" width="16.28515625" style="903" customWidth="1"/>
    <col min="6665" max="6665" width="2.7109375" style="903" customWidth="1"/>
    <col min="6666" max="6667" width="15.140625" style="903" customWidth="1"/>
    <col min="6668" max="6668" width="15.7109375" style="903" customWidth="1"/>
    <col min="6669" max="6669" width="12.28515625" style="903" bestFit="1" customWidth="1"/>
    <col min="6670" max="6670" width="9.140625" style="903"/>
    <col min="6671" max="6671" width="11.28515625" style="903" bestFit="1" customWidth="1"/>
    <col min="6672" max="6672" width="12.85546875" style="903" bestFit="1" customWidth="1"/>
    <col min="6673" max="6912" width="9.140625" style="903"/>
    <col min="6913" max="6913" width="5.7109375" style="903" customWidth="1"/>
    <col min="6914" max="6914" width="9.7109375" style="903" customWidth="1"/>
    <col min="6915" max="6919" width="14.7109375" style="903" customWidth="1"/>
    <col min="6920" max="6920" width="16.28515625" style="903" customWidth="1"/>
    <col min="6921" max="6921" width="2.7109375" style="903" customWidth="1"/>
    <col min="6922" max="6923" width="15.140625" style="903" customWidth="1"/>
    <col min="6924" max="6924" width="15.7109375" style="903" customWidth="1"/>
    <col min="6925" max="6925" width="12.28515625" style="903" bestFit="1" customWidth="1"/>
    <col min="6926" max="6926" width="9.140625" style="903"/>
    <col min="6927" max="6927" width="11.28515625" style="903" bestFit="1" customWidth="1"/>
    <col min="6928" max="6928" width="12.85546875" style="903" bestFit="1" customWidth="1"/>
    <col min="6929" max="7168" width="9.140625" style="903"/>
    <col min="7169" max="7169" width="5.7109375" style="903" customWidth="1"/>
    <col min="7170" max="7170" width="9.7109375" style="903" customWidth="1"/>
    <col min="7171" max="7175" width="14.7109375" style="903" customWidth="1"/>
    <col min="7176" max="7176" width="16.28515625" style="903" customWidth="1"/>
    <col min="7177" max="7177" width="2.7109375" style="903" customWidth="1"/>
    <col min="7178" max="7179" width="15.140625" style="903" customWidth="1"/>
    <col min="7180" max="7180" width="15.7109375" style="903" customWidth="1"/>
    <col min="7181" max="7181" width="12.28515625" style="903" bestFit="1" customWidth="1"/>
    <col min="7182" max="7182" width="9.140625" style="903"/>
    <col min="7183" max="7183" width="11.28515625" style="903" bestFit="1" customWidth="1"/>
    <col min="7184" max="7184" width="12.85546875" style="903" bestFit="1" customWidth="1"/>
    <col min="7185" max="7424" width="9.140625" style="903"/>
    <col min="7425" max="7425" width="5.7109375" style="903" customWidth="1"/>
    <col min="7426" max="7426" width="9.7109375" style="903" customWidth="1"/>
    <col min="7427" max="7431" width="14.7109375" style="903" customWidth="1"/>
    <col min="7432" max="7432" width="16.28515625" style="903" customWidth="1"/>
    <col min="7433" max="7433" width="2.7109375" style="903" customWidth="1"/>
    <col min="7434" max="7435" width="15.140625" style="903" customWidth="1"/>
    <col min="7436" max="7436" width="15.7109375" style="903" customWidth="1"/>
    <col min="7437" max="7437" width="12.28515625" style="903" bestFit="1" customWidth="1"/>
    <col min="7438" max="7438" width="9.140625" style="903"/>
    <col min="7439" max="7439" width="11.28515625" style="903" bestFit="1" customWidth="1"/>
    <col min="7440" max="7440" width="12.85546875" style="903" bestFit="1" customWidth="1"/>
    <col min="7441" max="7680" width="9.140625" style="903"/>
    <col min="7681" max="7681" width="5.7109375" style="903" customWidth="1"/>
    <col min="7682" max="7682" width="9.7109375" style="903" customWidth="1"/>
    <col min="7683" max="7687" width="14.7109375" style="903" customWidth="1"/>
    <col min="7688" max="7688" width="16.28515625" style="903" customWidth="1"/>
    <col min="7689" max="7689" width="2.7109375" style="903" customWidth="1"/>
    <col min="7690" max="7691" width="15.140625" style="903" customWidth="1"/>
    <col min="7692" max="7692" width="15.7109375" style="903" customWidth="1"/>
    <col min="7693" max="7693" width="12.28515625" style="903" bestFit="1" customWidth="1"/>
    <col min="7694" max="7694" width="9.140625" style="903"/>
    <col min="7695" max="7695" width="11.28515625" style="903" bestFit="1" customWidth="1"/>
    <col min="7696" max="7696" width="12.85546875" style="903" bestFit="1" customWidth="1"/>
    <col min="7697" max="7936" width="9.140625" style="903"/>
    <col min="7937" max="7937" width="5.7109375" style="903" customWidth="1"/>
    <col min="7938" max="7938" width="9.7109375" style="903" customWidth="1"/>
    <col min="7939" max="7943" width="14.7109375" style="903" customWidth="1"/>
    <col min="7944" max="7944" width="16.28515625" style="903" customWidth="1"/>
    <col min="7945" max="7945" width="2.7109375" style="903" customWidth="1"/>
    <col min="7946" max="7947" width="15.140625" style="903" customWidth="1"/>
    <col min="7948" max="7948" width="15.7109375" style="903" customWidth="1"/>
    <col min="7949" max="7949" width="12.28515625" style="903" bestFit="1" customWidth="1"/>
    <col min="7950" max="7950" width="9.140625" style="903"/>
    <col min="7951" max="7951" width="11.28515625" style="903" bestFit="1" customWidth="1"/>
    <col min="7952" max="7952" width="12.85546875" style="903" bestFit="1" customWidth="1"/>
    <col min="7953" max="8192" width="9.140625" style="903"/>
    <col min="8193" max="8193" width="5.7109375" style="903" customWidth="1"/>
    <col min="8194" max="8194" width="9.7109375" style="903" customWidth="1"/>
    <col min="8195" max="8199" width="14.7109375" style="903" customWidth="1"/>
    <col min="8200" max="8200" width="16.28515625" style="903" customWidth="1"/>
    <col min="8201" max="8201" width="2.7109375" style="903" customWidth="1"/>
    <col min="8202" max="8203" width="15.140625" style="903" customWidth="1"/>
    <col min="8204" max="8204" width="15.7109375" style="903" customWidth="1"/>
    <col min="8205" max="8205" width="12.28515625" style="903" bestFit="1" customWidth="1"/>
    <col min="8206" max="8206" width="9.140625" style="903"/>
    <col min="8207" max="8207" width="11.28515625" style="903" bestFit="1" customWidth="1"/>
    <col min="8208" max="8208" width="12.85546875" style="903" bestFit="1" customWidth="1"/>
    <col min="8209" max="8448" width="9.140625" style="903"/>
    <col min="8449" max="8449" width="5.7109375" style="903" customWidth="1"/>
    <col min="8450" max="8450" width="9.7109375" style="903" customWidth="1"/>
    <col min="8451" max="8455" width="14.7109375" style="903" customWidth="1"/>
    <col min="8456" max="8456" width="16.28515625" style="903" customWidth="1"/>
    <col min="8457" max="8457" width="2.7109375" style="903" customWidth="1"/>
    <col min="8458" max="8459" width="15.140625" style="903" customWidth="1"/>
    <col min="8460" max="8460" width="15.7109375" style="903" customWidth="1"/>
    <col min="8461" max="8461" width="12.28515625" style="903" bestFit="1" customWidth="1"/>
    <col min="8462" max="8462" width="9.140625" style="903"/>
    <col min="8463" max="8463" width="11.28515625" style="903" bestFit="1" customWidth="1"/>
    <col min="8464" max="8464" width="12.85546875" style="903" bestFit="1" customWidth="1"/>
    <col min="8465" max="8704" width="9.140625" style="903"/>
    <col min="8705" max="8705" width="5.7109375" style="903" customWidth="1"/>
    <col min="8706" max="8706" width="9.7109375" style="903" customWidth="1"/>
    <col min="8707" max="8711" width="14.7109375" style="903" customWidth="1"/>
    <col min="8712" max="8712" width="16.28515625" style="903" customWidth="1"/>
    <col min="8713" max="8713" width="2.7109375" style="903" customWidth="1"/>
    <col min="8714" max="8715" width="15.140625" style="903" customWidth="1"/>
    <col min="8716" max="8716" width="15.7109375" style="903" customWidth="1"/>
    <col min="8717" max="8717" width="12.28515625" style="903" bestFit="1" customWidth="1"/>
    <col min="8718" max="8718" width="9.140625" style="903"/>
    <col min="8719" max="8719" width="11.28515625" style="903" bestFit="1" customWidth="1"/>
    <col min="8720" max="8720" width="12.85546875" style="903" bestFit="1" customWidth="1"/>
    <col min="8721" max="8960" width="9.140625" style="903"/>
    <col min="8961" max="8961" width="5.7109375" style="903" customWidth="1"/>
    <col min="8962" max="8962" width="9.7109375" style="903" customWidth="1"/>
    <col min="8963" max="8967" width="14.7109375" style="903" customWidth="1"/>
    <col min="8968" max="8968" width="16.28515625" style="903" customWidth="1"/>
    <col min="8969" max="8969" width="2.7109375" style="903" customWidth="1"/>
    <col min="8970" max="8971" width="15.140625" style="903" customWidth="1"/>
    <col min="8972" max="8972" width="15.7109375" style="903" customWidth="1"/>
    <col min="8973" max="8973" width="12.28515625" style="903" bestFit="1" customWidth="1"/>
    <col min="8974" max="8974" width="9.140625" style="903"/>
    <col min="8975" max="8975" width="11.28515625" style="903" bestFit="1" customWidth="1"/>
    <col min="8976" max="8976" width="12.85546875" style="903" bestFit="1" customWidth="1"/>
    <col min="8977" max="9216" width="9.140625" style="903"/>
    <col min="9217" max="9217" width="5.7109375" style="903" customWidth="1"/>
    <col min="9218" max="9218" width="9.7109375" style="903" customWidth="1"/>
    <col min="9219" max="9223" width="14.7109375" style="903" customWidth="1"/>
    <col min="9224" max="9224" width="16.28515625" style="903" customWidth="1"/>
    <col min="9225" max="9225" width="2.7109375" style="903" customWidth="1"/>
    <col min="9226" max="9227" width="15.140625" style="903" customWidth="1"/>
    <col min="9228" max="9228" width="15.7109375" style="903" customWidth="1"/>
    <col min="9229" max="9229" width="12.28515625" style="903" bestFit="1" customWidth="1"/>
    <col min="9230" max="9230" width="9.140625" style="903"/>
    <col min="9231" max="9231" width="11.28515625" style="903" bestFit="1" customWidth="1"/>
    <col min="9232" max="9232" width="12.85546875" style="903" bestFit="1" customWidth="1"/>
    <col min="9233" max="9472" width="9.140625" style="903"/>
    <col min="9473" max="9473" width="5.7109375" style="903" customWidth="1"/>
    <col min="9474" max="9474" width="9.7109375" style="903" customWidth="1"/>
    <col min="9475" max="9479" width="14.7109375" style="903" customWidth="1"/>
    <col min="9480" max="9480" width="16.28515625" style="903" customWidth="1"/>
    <col min="9481" max="9481" width="2.7109375" style="903" customWidth="1"/>
    <col min="9482" max="9483" width="15.140625" style="903" customWidth="1"/>
    <col min="9484" max="9484" width="15.7109375" style="903" customWidth="1"/>
    <col min="9485" max="9485" width="12.28515625" style="903" bestFit="1" customWidth="1"/>
    <col min="9486" max="9486" width="9.140625" style="903"/>
    <col min="9487" max="9487" width="11.28515625" style="903" bestFit="1" customWidth="1"/>
    <col min="9488" max="9488" width="12.85546875" style="903" bestFit="1" customWidth="1"/>
    <col min="9489" max="9728" width="9.140625" style="903"/>
    <col min="9729" max="9729" width="5.7109375" style="903" customWidth="1"/>
    <col min="9730" max="9730" width="9.7109375" style="903" customWidth="1"/>
    <col min="9731" max="9735" width="14.7109375" style="903" customWidth="1"/>
    <col min="9736" max="9736" width="16.28515625" style="903" customWidth="1"/>
    <col min="9737" max="9737" width="2.7109375" style="903" customWidth="1"/>
    <col min="9738" max="9739" width="15.140625" style="903" customWidth="1"/>
    <col min="9740" max="9740" width="15.7109375" style="903" customWidth="1"/>
    <col min="9741" max="9741" width="12.28515625" style="903" bestFit="1" customWidth="1"/>
    <col min="9742" max="9742" width="9.140625" style="903"/>
    <col min="9743" max="9743" width="11.28515625" style="903" bestFit="1" customWidth="1"/>
    <col min="9744" max="9744" width="12.85546875" style="903" bestFit="1" customWidth="1"/>
    <col min="9745" max="9984" width="9.140625" style="903"/>
    <col min="9985" max="9985" width="5.7109375" style="903" customWidth="1"/>
    <col min="9986" max="9986" width="9.7109375" style="903" customWidth="1"/>
    <col min="9987" max="9991" width="14.7109375" style="903" customWidth="1"/>
    <col min="9992" max="9992" width="16.28515625" style="903" customWidth="1"/>
    <col min="9993" max="9993" width="2.7109375" style="903" customWidth="1"/>
    <col min="9994" max="9995" width="15.140625" style="903" customWidth="1"/>
    <col min="9996" max="9996" width="15.7109375" style="903" customWidth="1"/>
    <col min="9997" max="9997" width="12.28515625" style="903" bestFit="1" customWidth="1"/>
    <col min="9998" max="9998" width="9.140625" style="903"/>
    <col min="9999" max="9999" width="11.28515625" style="903" bestFit="1" customWidth="1"/>
    <col min="10000" max="10000" width="12.85546875" style="903" bestFit="1" customWidth="1"/>
    <col min="10001" max="10240" width="9.140625" style="903"/>
    <col min="10241" max="10241" width="5.7109375" style="903" customWidth="1"/>
    <col min="10242" max="10242" width="9.7109375" style="903" customWidth="1"/>
    <col min="10243" max="10247" width="14.7109375" style="903" customWidth="1"/>
    <col min="10248" max="10248" width="16.28515625" style="903" customWidth="1"/>
    <col min="10249" max="10249" width="2.7109375" style="903" customWidth="1"/>
    <col min="10250" max="10251" width="15.140625" style="903" customWidth="1"/>
    <col min="10252" max="10252" width="15.7109375" style="903" customWidth="1"/>
    <col min="10253" max="10253" width="12.28515625" style="903" bestFit="1" customWidth="1"/>
    <col min="10254" max="10254" width="9.140625" style="903"/>
    <col min="10255" max="10255" width="11.28515625" style="903" bestFit="1" customWidth="1"/>
    <col min="10256" max="10256" width="12.85546875" style="903" bestFit="1" customWidth="1"/>
    <col min="10257" max="10496" width="9.140625" style="903"/>
    <col min="10497" max="10497" width="5.7109375" style="903" customWidth="1"/>
    <col min="10498" max="10498" width="9.7109375" style="903" customWidth="1"/>
    <col min="10499" max="10503" width="14.7109375" style="903" customWidth="1"/>
    <col min="10504" max="10504" width="16.28515625" style="903" customWidth="1"/>
    <col min="10505" max="10505" width="2.7109375" style="903" customWidth="1"/>
    <col min="10506" max="10507" width="15.140625" style="903" customWidth="1"/>
    <col min="10508" max="10508" width="15.7109375" style="903" customWidth="1"/>
    <col min="10509" max="10509" width="12.28515625" style="903" bestFit="1" customWidth="1"/>
    <col min="10510" max="10510" width="9.140625" style="903"/>
    <col min="10511" max="10511" width="11.28515625" style="903" bestFit="1" customWidth="1"/>
    <col min="10512" max="10512" width="12.85546875" style="903" bestFit="1" customWidth="1"/>
    <col min="10513" max="10752" width="9.140625" style="903"/>
    <col min="10753" max="10753" width="5.7109375" style="903" customWidth="1"/>
    <col min="10754" max="10754" width="9.7109375" style="903" customWidth="1"/>
    <col min="10755" max="10759" width="14.7109375" style="903" customWidth="1"/>
    <col min="10760" max="10760" width="16.28515625" style="903" customWidth="1"/>
    <col min="10761" max="10761" width="2.7109375" style="903" customWidth="1"/>
    <col min="10762" max="10763" width="15.140625" style="903" customWidth="1"/>
    <col min="10764" max="10764" width="15.7109375" style="903" customWidth="1"/>
    <col min="10765" max="10765" width="12.28515625" style="903" bestFit="1" customWidth="1"/>
    <col min="10766" max="10766" width="9.140625" style="903"/>
    <col min="10767" max="10767" width="11.28515625" style="903" bestFit="1" customWidth="1"/>
    <col min="10768" max="10768" width="12.85546875" style="903" bestFit="1" customWidth="1"/>
    <col min="10769" max="11008" width="9.140625" style="903"/>
    <col min="11009" max="11009" width="5.7109375" style="903" customWidth="1"/>
    <col min="11010" max="11010" width="9.7109375" style="903" customWidth="1"/>
    <col min="11011" max="11015" width="14.7109375" style="903" customWidth="1"/>
    <col min="11016" max="11016" width="16.28515625" style="903" customWidth="1"/>
    <col min="11017" max="11017" width="2.7109375" style="903" customWidth="1"/>
    <col min="11018" max="11019" width="15.140625" style="903" customWidth="1"/>
    <col min="11020" max="11020" width="15.7109375" style="903" customWidth="1"/>
    <col min="11021" max="11021" width="12.28515625" style="903" bestFit="1" customWidth="1"/>
    <col min="11022" max="11022" width="9.140625" style="903"/>
    <col min="11023" max="11023" width="11.28515625" style="903" bestFit="1" customWidth="1"/>
    <col min="11024" max="11024" width="12.85546875" style="903" bestFit="1" customWidth="1"/>
    <col min="11025" max="11264" width="9.140625" style="903"/>
    <col min="11265" max="11265" width="5.7109375" style="903" customWidth="1"/>
    <col min="11266" max="11266" width="9.7109375" style="903" customWidth="1"/>
    <col min="11267" max="11271" width="14.7109375" style="903" customWidth="1"/>
    <col min="11272" max="11272" width="16.28515625" style="903" customWidth="1"/>
    <col min="11273" max="11273" width="2.7109375" style="903" customWidth="1"/>
    <col min="11274" max="11275" width="15.140625" style="903" customWidth="1"/>
    <col min="11276" max="11276" width="15.7109375" style="903" customWidth="1"/>
    <col min="11277" max="11277" width="12.28515625" style="903" bestFit="1" customWidth="1"/>
    <col min="11278" max="11278" width="9.140625" style="903"/>
    <col min="11279" max="11279" width="11.28515625" style="903" bestFit="1" customWidth="1"/>
    <col min="11280" max="11280" width="12.85546875" style="903" bestFit="1" customWidth="1"/>
    <col min="11281" max="11520" width="9.140625" style="903"/>
    <col min="11521" max="11521" width="5.7109375" style="903" customWidth="1"/>
    <col min="11522" max="11522" width="9.7109375" style="903" customWidth="1"/>
    <col min="11523" max="11527" width="14.7109375" style="903" customWidth="1"/>
    <col min="11528" max="11528" width="16.28515625" style="903" customWidth="1"/>
    <col min="11529" max="11529" width="2.7109375" style="903" customWidth="1"/>
    <col min="11530" max="11531" width="15.140625" style="903" customWidth="1"/>
    <col min="11532" max="11532" width="15.7109375" style="903" customWidth="1"/>
    <col min="11533" max="11533" width="12.28515625" style="903" bestFit="1" customWidth="1"/>
    <col min="11534" max="11534" width="9.140625" style="903"/>
    <col min="11535" max="11535" width="11.28515625" style="903" bestFit="1" customWidth="1"/>
    <col min="11536" max="11536" width="12.85546875" style="903" bestFit="1" customWidth="1"/>
    <col min="11537" max="11776" width="9.140625" style="903"/>
    <col min="11777" max="11777" width="5.7109375" style="903" customWidth="1"/>
    <col min="11778" max="11778" width="9.7109375" style="903" customWidth="1"/>
    <col min="11779" max="11783" width="14.7109375" style="903" customWidth="1"/>
    <col min="11784" max="11784" width="16.28515625" style="903" customWidth="1"/>
    <col min="11785" max="11785" width="2.7109375" style="903" customWidth="1"/>
    <col min="11786" max="11787" width="15.140625" style="903" customWidth="1"/>
    <col min="11788" max="11788" width="15.7109375" style="903" customWidth="1"/>
    <col min="11789" max="11789" width="12.28515625" style="903" bestFit="1" customWidth="1"/>
    <col min="11790" max="11790" width="9.140625" style="903"/>
    <col min="11791" max="11791" width="11.28515625" style="903" bestFit="1" customWidth="1"/>
    <col min="11792" max="11792" width="12.85546875" style="903" bestFit="1" customWidth="1"/>
    <col min="11793" max="12032" width="9.140625" style="903"/>
    <col min="12033" max="12033" width="5.7109375" style="903" customWidth="1"/>
    <col min="12034" max="12034" width="9.7109375" style="903" customWidth="1"/>
    <col min="12035" max="12039" width="14.7109375" style="903" customWidth="1"/>
    <col min="12040" max="12040" width="16.28515625" style="903" customWidth="1"/>
    <col min="12041" max="12041" width="2.7109375" style="903" customWidth="1"/>
    <col min="12042" max="12043" width="15.140625" style="903" customWidth="1"/>
    <col min="12044" max="12044" width="15.7109375" style="903" customWidth="1"/>
    <col min="12045" max="12045" width="12.28515625" style="903" bestFit="1" customWidth="1"/>
    <col min="12046" max="12046" width="9.140625" style="903"/>
    <col min="12047" max="12047" width="11.28515625" style="903" bestFit="1" customWidth="1"/>
    <col min="12048" max="12048" width="12.85546875" style="903" bestFit="1" customWidth="1"/>
    <col min="12049" max="12288" width="9.140625" style="903"/>
    <col min="12289" max="12289" width="5.7109375" style="903" customWidth="1"/>
    <col min="12290" max="12290" width="9.7109375" style="903" customWidth="1"/>
    <col min="12291" max="12295" width="14.7109375" style="903" customWidth="1"/>
    <col min="12296" max="12296" width="16.28515625" style="903" customWidth="1"/>
    <col min="12297" max="12297" width="2.7109375" style="903" customWidth="1"/>
    <col min="12298" max="12299" width="15.140625" style="903" customWidth="1"/>
    <col min="12300" max="12300" width="15.7109375" style="903" customWidth="1"/>
    <col min="12301" max="12301" width="12.28515625" style="903" bestFit="1" customWidth="1"/>
    <col min="12302" max="12302" width="9.140625" style="903"/>
    <col min="12303" max="12303" width="11.28515625" style="903" bestFit="1" customWidth="1"/>
    <col min="12304" max="12304" width="12.85546875" style="903" bestFit="1" customWidth="1"/>
    <col min="12305" max="12544" width="9.140625" style="903"/>
    <col min="12545" max="12545" width="5.7109375" style="903" customWidth="1"/>
    <col min="12546" max="12546" width="9.7109375" style="903" customWidth="1"/>
    <col min="12547" max="12551" width="14.7109375" style="903" customWidth="1"/>
    <col min="12552" max="12552" width="16.28515625" style="903" customWidth="1"/>
    <col min="12553" max="12553" width="2.7109375" style="903" customWidth="1"/>
    <col min="12554" max="12555" width="15.140625" style="903" customWidth="1"/>
    <col min="12556" max="12556" width="15.7109375" style="903" customWidth="1"/>
    <col min="12557" max="12557" width="12.28515625" style="903" bestFit="1" customWidth="1"/>
    <col min="12558" max="12558" width="9.140625" style="903"/>
    <col min="12559" max="12559" width="11.28515625" style="903" bestFit="1" customWidth="1"/>
    <col min="12560" max="12560" width="12.85546875" style="903" bestFit="1" customWidth="1"/>
    <col min="12561" max="12800" width="9.140625" style="903"/>
    <col min="12801" max="12801" width="5.7109375" style="903" customWidth="1"/>
    <col min="12802" max="12802" width="9.7109375" style="903" customWidth="1"/>
    <col min="12803" max="12807" width="14.7109375" style="903" customWidth="1"/>
    <col min="12808" max="12808" width="16.28515625" style="903" customWidth="1"/>
    <col min="12809" max="12809" width="2.7109375" style="903" customWidth="1"/>
    <col min="12810" max="12811" width="15.140625" style="903" customWidth="1"/>
    <col min="12812" max="12812" width="15.7109375" style="903" customWidth="1"/>
    <col min="12813" max="12813" width="12.28515625" style="903" bestFit="1" customWidth="1"/>
    <col min="12814" max="12814" width="9.140625" style="903"/>
    <col min="12815" max="12815" width="11.28515625" style="903" bestFit="1" customWidth="1"/>
    <col min="12816" max="12816" width="12.85546875" style="903" bestFit="1" customWidth="1"/>
    <col min="12817" max="13056" width="9.140625" style="903"/>
    <col min="13057" max="13057" width="5.7109375" style="903" customWidth="1"/>
    <col min="13058" max="13058" width="9.7109375" style="903" customWidth="1"/>
    <col min="13059" max="13063" width="14.7109375" style="903" customWidth="1"/>
    <col min="13064" max="13064" width="16.28515625" style="903" customWidth="1"/>
    <col min="13065" max="13065" width="2.7109375" style="903" customWidth="1"/>
    <col min="13066" max="13067" width="15.140625" style="903" customWidth="1"/>
    <col min="13068" max="13068" width="15.7109375" style="903" customWidth="1"/>
    <col min="13069" max="13069" width="12.28515625" style="903" bestFit="1" customWidth="1"/>
    <col min="13070" max="13070" width="9.140625" style="903"/>
    <col min="13071" max="13071" width="11.28515625" style="903" bestFit="1" customWidth="1"/>
    <col min="13072" max="13072" width="12.85546875" style="903" bestFit="1" customWidth="1"/>
    <col min="13073" max="13312" width="9.140625" style="903"/>
    <col min="13313" max="13313" width="5.7109375" style="903" customWidth="1"/>
    <col min="13314" max="13314" width="9.7109375" style="903" customWidth="1"/>
    <col min="13315" max="13319" width="14.7109375" style="903" customWidth="1"/>
    <col min="13320" max="13320" width="16.28515625" style="903" customWidth="1"/>
    <col min="13321" max="13321" width="2.7109375" style="903" customWidth="1"/>
    <col min="13322" max="13323" width="15.140625" style="903" customWidth="1"/>
    <col min="13324" max="13324" width="15.7109375" style="903" customWidth="1"/>
    <col min="13325" max="13325" width="12.28515625" style="903" bestFit="1" customWidth="1"/>
    <col min="13326" max="13326" width="9.140625" style="903"/>
    <col min="13327" max="13327" width="11.28515625" style="903" bestFit="1" customWidth="1"/>
    <col min="13328" max="13328" width="12.85546875" style="903" bestFit="1" customWidth="1"/>
    <col min="13329" max="13568" width="9.140625" style="903"/>
    <col min="13569" max="13569" width="5.7109375" style="903" customWidth="1"/>
    <col min="13570" max="13570" width="9.7109375" style="903" customWidth="1"/>
    <col min="13571" max="13575" width="14.7109375" style="903" customWidth="1"/>
    <col min="13576" max="13576" width="16.28515625" style="903" customWidth="1"/>
    <col min="13577" max="13577" width="2.7109375" style="903" customWidth="1"/>
    <col min="13578" max="13579" width="15.140625" style="903" customWidth="1"/>
    <col min="13580" max="13580" width="15.7109375" style="903" customWidth="1"/>
    <col min="13581" max="13581" width="12.28515625" style="903" bestFit="1" customWidth="1"/>
    <col min="13582" max="13582" width="9.140625" style="903"/>
    <col min="13583" max="13583" width="11.28515625" style="903" bestFit="1" customWidth="1"/>
    <col min="13584" max="13584" width="12.85546875" style="903" bestFit="1" customWidth="1"/>
    <col min="13585" max="13824" width="9.140625" style="903"/>
    <col min="13825" max="13825" width="5.7109375" style="903" customWidth="1"/>
    <col min="13826" max="13826" width="9.7109375" style="903" customWidth="1"/>
    <col min="13827" max="13831" width="14.7109375" style="903" customWidth="1"/>
    <col min="13832" max="13832" width="16.28515625" style="903" customWidth="1"/>
    <col min="13833" max="13833" width="2.7109375" style="903" customWidth="1"/>
    <col min="13834" max="13835" width="15.140625" style="903" customWidth="1"/>
    <col min="13836" max="13836" width="15.7109375" style="903" customWidth="1"/>
    <col min="13837" max="13837" width="12.28515625" style="903" bestFit="1" customWidth="1"/>
    <col min="13838" max="13838" width="9.140625" style="903"/>
    <col min="13839" max="13839" width="11.28515625" style="903" bestFit="1" customWidth="1"/>
    <col min="13840" max="13840" width="12.85546875" style="903" bestFit="1" customWidth="1"/>
    <col min="13841" max="14080" width="9.140625" style="903"/>
    <col min="14081" max="14081" width="5.7109375" style="903" customWidth="1"/>
    <col min="14082" max="14082" width="9.7109375" style="903" customWidth="1"/>
    <col min="14083" max="14087" width="14.7109375" style="903" customWidth="1"/>
    <col min="14088" max="14088" width="16.28515625" style="903" customWidth="1"/>
    <col min="14089" max="14089" width="2.7109375" style="903" customWidth="1"/>
    <col min="14090" max="14091" width="15.140625" style="903" customWidth="1"/>
    <col min="14092" max="14092" width="15.7109375" style="903" customWidth="1"/>
    <col min="14093" max="14093" width="12.28515625" style="903" bestFit="1" customWidth="1"/>
    <col min="14094" max="14094" width="9.140625" style="903"/>
    <col min="14095" max="14095" width="11.28515625" style="903" bestFit="1" customWidth="1"/>
    <col min="14096" max="14096" width="12.85546875" style="903" bestFit="1" customWidth="1"/>
    <col min="14097" max="14336" width="9.140625" style="903"/>
    <col min="14337" max="14337" width="5.7109375" style="903" customWidth="1"/>
    <col min="14338" max="14338" width="9.7109375" style="903" customWidth="1"/>
    <col min="14339" max="14343" width="14.7109375" style="903" customWidth="1"/>
    <col min="14344" max="14344" width="16.28515625" style="903" customWidth="1"/>
    <col min="14345" max="14345" width="2.7109375" style="903" customWidth="1"/>
    <col min="14346" max="14347" width="15.140625" style="903" customWidth="1"/>
    <col min="14348" max="14348" width="15.7109375" style="903" customWidth="1"/>
    <col min="14349" max="14349" width="12.28515625" style="903" bestFit="1" customWidth="1"/>
    <col min="14350" max="14350" width="9.140625" style="903"/>
    <col min="14351" max="14351" width="11.28515625" style="903" bestFit="1" customWidth="1"/>
    <col min="14352" max="14352" width="12.85546875" style="903" bestFit="1" customWidth="1"/>
    <col min="14353" max="14592" width="9.140625" style="903"/>
    <col min="14593" max="14593" width="5.7109375" style="903" customWidth="1"/>
    <col min="14594" max="14594" width="9.7109375" style="903" customWidth="1"/>
    <col min="14595" max="14599" width="14.7109375" style="903" customWidth="1"/>
    <col min="14600" max="14600" width="16.28515625" style="903" customWidth="1"/>
    <col min="14601" max="14601" width="2.7109375" style="903" customWidth="1"/>
    <col min="14602" max="14603" width="15.140625" style="903" customWidth="1"/>
    <col min="14604" max="14604" width="15.7109375" style="903" customWidth="1"/>
    <col min="14605" max="14605" width="12.28515625" style="903" bestFit="1" customWidth="1"/>
    <col min="14606" max="14606" width="9.140625" style="903"/>
    <col min="14607" max="14607" width="11.28515625" style="903" bestFit="1" customWidth="1"/>
    <col min="14608" max="14608" width="12.85546875" style="903" bestFit="1" customWidth="1"/>
    <col min="14609" max="14848" width="9.140625" style="903"/>
    <col min="14849" max="14849" width="5.7109375" style="903" customWidth="1"/>
    <col min="14850" max="14850" width="9.7109375" style="903" customWidth="1"/>
    <col min="14851" max="14855" width="14.7109375" style="903" customWidth="1"/>
    <col min="14856" max="14856" width="16.28515625" style="903" customWidth="1"/>
    <col min="14857" max="14857" width="2.7109375" style="903" customWidth="1"/>
    <col min="14858" max="14859" width="15.140625" style="903" customWidth="1"/>
    <col min="14860" max="14860" width="15.7109375" style="903" customWidth="1"/>
    <col min="14861" max="14861" width="12.28515625" style="903" bestFit="1" customWidth="1"/>
    <col min="14862" max="14862" width="9.140625" style="903"/>
    <col min="14863" max="14863" width="11.28515625" style="903" bestFit="1" customWidth="1"/>
    <col min="14864" max="14864" width="12.85546875" style="903" bestFit="1" customWidth="1"/>
    <col min="14865" max="15104" width="9.140625" style="903"/>
    <col min="15105" max="15105" width="5.7109375" style="903" customWidth="1"/>
    <col min="15106" max="15106" width="9.7109375" style="903" customWidth="1"/>
    <col min="15107" max="15111" width="14.7109375" style="903" customWidth="1"/>
    <col min="15112" max="15112" width="16.28515625" style="903" customWidth="1"/>
    <col min="15113" max="15113" width="2.7109375" style="903" customWidth="1"/>
    <col min="15114" max="15115" width="15.140625" style="903" customWidth="1"/>
    <col min="15116" max="15116" width="15.7109375" style="903" customWidth="1"/>
    <col min="15117" max="15117" width="12.28515625" style="903" bestFit="1" customWidth="1"/>
    <col min="15118" max="15118" width="9.140625" style="903"/>
    <col min="15119" max="15119" width="11.28515625" style="903" bestFit="1" customWidth="1"/>
    <col min="15120" max="15120" width="12.85546875" style="903" bestFit="1" customWidth="1"/>
    <col min="15121" max="15360" width="9.140625" style="903"/>
    <col min="15361" max="15361" width="5.7109375" style="903" customWidth="1"/>
    <col min="15362" max="15362" width="9.7109375" style="903" customWidth="1"/>
    <col min="15363" max="15367" width="14.7109375" style="903" customWidth="1"/>
    <col min="15368" max="15368" width="16.28515625" style="903" customWidth="1"/>
    <col min="15369" max="15369" width="2.7109375" style="903" customWidth="1"/>
    <col min="15370" max="15371" width="15.140625" style="903" customWidth="1"/>
    <col min="15372" max="15372" width="15.7109375" style="903" customWidth="1"/>
    <col min="15373" max="15373" width="12.28515625" style="903" bestFit="1" customWidth="1"/>
    <col min="15374" max="15374" width="9.140625" style="903"/>
    <col min="15375" max="15375" width="11.28515625" style="903" bestFit="1" customWidth="1"/>
    <col min="15376" max="15376" width="12.85546875" style="903" bestFit="1" customWidth="1"/>
    <col min="15377" max="15616" width="9.140625" style="903"/>
    <col min="15617" max="15617" width="5.7109375" style="903" customWidth="1"/>
    <col min="15618" max="15618" width="9.7109375" style="903" customWidth="1"/>
    <col min="15619" max="15623" width="14.7109375" style="903" customWidth="1"/>
    <col min="15624" max="15624" width="16.28515625" style="903" customWidth="1"/>
    <col min="15625" max="15625" width="2.7109375" style="903" customWidth="1"/>
    <col min="15626" max="15627" width="15.140625" style="903" customWidth="1"/>
    <col min="15628" max="15628" width="15.7109375" style="903" customWidth="1"/>
    <col min="15629" max="15629" width="12.28515625" style="903" bestFit="1" customWidth="1"/>
    <col min="15630" max="15630" width="9.140625" style="903"/>
    <col min="15631" max="15631" width="11.28515625" style="903" bestFit="1" customWidth="1"/>
    <col min="15632" max="15632" width="12.85546875" style="903" bestFit="1" customWidth="1"/>
    <col min="15633" max="15872" width="9.140625" style="903"/>
    <col min="15873" max="15873" width="5.7109375" style="903" customWidth="1"/>
    <col min="15874" max="15874" width="9.7109375" style="903" customWidth="1"/>
    <col min="15875" max="15879" width="14.7109375" style="903" customWidth="1"/>
    <col min="15880" max="15880" width="16.28515625" style="903" customWidth="1"/>
    <col min="15881" max="15881" width="2.7109375" style="903" customWidth="1"/>
    <col min="15882" max="15883" width="15.140625" style="903" customWidth="1"/>
    <col min="15884" max="15884" width="15.7109375" style="903" customWidth="1"/>
    <col min="15885" max="15885" width="12.28515625" style="903" bestFit="1" customWidth="1"/>
    <col min="15886" max="15886" width="9.140625" style="903"/>
    <col min="15887" max="15887" width="11.28515625" style="903" bestFit="1" customWidth="1"/>
    <col min="15888" max="15888" width="12.85546875" style="903" bestFit="1" customWidth="1"/>
    <col min="15889" max="16128" width="9.140625" style="903"/>
    <col min="16129" max="16129" width="5.7109375" style="903" customWidth="1"/>
    <col min="16130" max="16130" width="9.7109375" style="903" customWidth="1"/>
    <col min="16131" max="16135" width="14.7109375" style="903" customWidth="1"/>
    <col min="16136" max="16136" width="16.28515625" style="903" customWidth="1"/>
    <col min="16137" max="16137" width="2.7109375" style="903" customWidth="1"/>
    <col min="16138" max="16139" width="15.140625" style="903" customWidth="1"/>
    <col min="16140" max="16140" width="15.7109375" style="903" customWidth="1"/>
    <col min="16141" max="16141" width="12.28515625" style="903" bestFit="1" customWidth="1"/>
    <col min="16142" max="16142" width="9.140625" style="903"/>
    <col min="16143" max="16143" width="11.28515625" style="903" bestFit="1" customWidth="1"/>
    <col min="16144" max="16144" width="12.85546875" style="903" bestFit="1" customWidth="1"/>
    <col min="16145" max="16384" width="9.140625" style="903"/>
  </cols>
  <sheetData>
    <row r="1" spans="1:16">
      <c r="A1" s="903" t="s">
        <v>51</v>
      </c>
      <c r="H1" s="904" t="s">
        <v>1005</v>
      </c>
      <c r="I1" s="904"/>
      <c r="L1" s="904"/>
    </row>
    <row r="2" spans="1:16">
      <c r="A2" s="903" t="s">
        <v>1006</v>
      </c>
      <c r="H2" s="904" t="s">
        <v>1007</v>
      </c>
      <c r="I2" s="904"/>
      <c r="L2" s="904"/>
    </row>
    <row r="3" spans="1:16">
      <c r="A3" s="903" t="s">
        <v>1028</v>
      </c>
      <c r="I3" s="904"/>
      <c r="L3" s="904"/>
    </row>
    <row r="4" spans="1:16">
      <c r="A4" s="905"/>
      <c r="C4" s="905"/>
      <c r="D4" s="905"/>
      <c r="E4" s="905"/>
      <c r="F4" s="905"/>
      <c r="G4" s="905"/>
      <c r="H4" s="905"/>
      <c r="I4" s="905"/>
      <c r="J4" s="905"/>
      <c r="K4" s="905"/>
      <c r="L4" s="905"/>
    </row>
    <row r="6" spans="1:16">
      <c r="A6" s="906" t="s">
        <v>1026</v>
      </c>
      <c r="H6" s="1052">
        <v>2699935.36</v>
      </c>
      <c r="I6" s="907"/>
      <c r="L6" s="907"/>
      <c r="M6" s="907"/>
    </row>
    <row r="7" spans="1:16">
      <c r="A7" s="903" t="s">
        <v>1130</v>
      </c>
      <c r="H7" s="1052">
        <v>201439.33</v>
      </c>
      <c r="I7" s="907"/>
      <c r="L7" s="907"/>
      <c r="M7" s="907"/>
    </row>
    <row r="8" spans="1:16">
      <c r="H8" s="907"/>
      <c r="I8" s="907"/>
      <c r="L8" s="907"/>
    </row>
    <row r="9" spans="1:16" ht="13.5" thickBot="1">
      <c r="A9" s="903" t="s">
        <v>1027</v>
      </c>
      <c r="H9" s="908">
        <f>SUM(H6:H8)</f>
        <v>2901374.69</v>
      </c>
      <c r="I9" s="909"/>
      <c r="J9" s="1135" t="s">
        <v>1008</v>
      </c>
      <c r="K9" s="1135"/>
      <c r="L9" s="1135"/>
      <c r="M9" s="1135"/>
    </row>
    <row r="10" spans="1:16" ht="13.5" thickTop="1">
      <c r="H10" s="910"/>
      <c r="I10" s="910"/>
      <c r="L10" s="910"/>
    </row>
    <row r="11" spans="1:16" ht="12.75" customHeight="1">
      <c r="B11" s="911"/>
      <c r="C11" s="911"/>
      <c r="D11" s="911"/>
      <c r="E11" s="911"/>
      <c r="F11" s="911"/>
      <c r="G11" s="911"/>
      <c r="H11" s="911"/>
      <c r="I11" s="911"/>
      <c r="J11" s="911"/>
      <c r="K11" s="911"/>
      <c r="L11" s="1136" t="s">
        <v>1009</v>
      </c>
      <c r="M11" s="912"/>
    </row>
    <row r="12" spans="1:16" ht="12.75" customHeight="1">
      <c r="F12" s="912" t="s">
        <v>542</v>
      </c>
      <c r="H12" s="910"/>
      <c r="I12" s="910"/>
      <c r="J12" s="912"/>
      <c r="K12" s="912" t="s">
        <v>542</v>
      </c>
      <c r="L12" s="1136"/>
      <c r="M12" s="913"/>
    </row>
    <row r="13" spans="1:16" ht="12.75" customHeight="1">
      <c r="A13" s="912" t="s">
        <v>43</v>
      </c>
      <c r="C13" s="912"/>
      <c r="D13" s="912"/>
      <c r="E13" s="912" t="s">
        <v>542</v>
      </c>
      <c r="F13" s="912" t="s">
        <v>476</v>
      </c>
      <c r="G13" s="912" t="s">
        <v>1010</v>
      </c>
      <c r="H13" s="910"/>
      <c r="I13" s="910"/>
      <c r="J13" s="912" t="s">
        <v>542</v>
      </c>
      <c r="K13" s="912" t="s">
        <v>1011</v>
      </c>
      <c r="L13" s="1136"/>
      <c r="M13" s="912" t="s">
        <v>5</v>
      </c>
    </row>
    <row r="14" spans="1:16">
      <c r="A14" s="914" t="s">
        <v>42</v>
      </c>
      <c r="B14" s="914" t="s">
        <v>167</v>
      </c>
      <c r="C14" s="914" t="s">
        <v>1012</v>
      </c>
      <c r="D14" s="914" t="s">
        <v>541</v>
      </c>
      <c r="E14" s="914" t="s">
        <v>537</v>
      </c>
      <c r="F14" s="914" t="s">
        <v>472</v>
      </c>
      <c r="G14" s="914" t="s">
        <v>537</v>
      </c>
      <c r="H14" s="914" t="s">
        <v>1013</v>
      </c>
      <c r="I14" s="914"/>
      <c r="J14" s="914" t="s">
        <v>1011</v>
      </c>
      <c r="K14" s="914" t="s">
        <v>1014</v>
      </c>
      <c r="L14" s="1136"/>
      <c r="M14" s="914" t="s">
        <v>1013</v>
      </c>
    </row>
    <row r="15" spans="1:16">
      <c r="B15" s="915" t="s">
        <v>46</v>
      </c>
      <c r="C15" s="915" t="s">
        <v>45</v>
      </c>
      <c r="D15" s="915" t="s">
        <v>44</v>
      </c>
      <c r="E15" s="915" t="s">
        <v>252</v>
      </c>
      <c r="F15" s="915" t="s">
        <v>251</v>
      </c>
      <c r="G15" s="915" t="s">
        <v>1015</v>
      </c>
      <c r="H15" s="915" t="s">
        <v>1016</v>
      </c>
      <c r="I15" s="915"/>
      <c r="J15" s="915" t="s">
        <v>1017</v>
      </c>
      <c r="K15" s="916" t="s">
        <v>545</v>
      </c>
      <c r="L15" s="915" t="s">
        <v>544</v>
      </c>
      <c r="M15" s="915" t="s">
        <v>1018</v>
      </c>
    </row>
    <row r="16" spans="1:16">
      <c r="A16" s="912">
        <v>1</v>
      </c>
      <c r="C16" s="914"/>
      <c r="D16" s="914"/>
      <c r="E16" s="914"/>
      <c r="F16" s="914"/>
      <c r="G16" s="914"/>
      <c r="H16" s="914"/>
      <c r="I16" s="914"/>
      <c r="J16" s="914"/>
      <c r="K16" s="914"/>
      <c r="L16" s="914"/>
      <c r="M16" s="914"/>
      <c r="P16" s="917"/>
    </row>
    <row r="17" spans="1:16">
      <c r="A17" s="912">
        <v>2</v>
      </c>
      <c r="B17" s="918" t="s">
        <v>1019</v>
      </c>
      <c r="C17" s="919"/>
      <c r="D17" s="920"/>
      <c r="E17" s="910"/>
      <c r="F17" s="910"/>
      <c r="G17" s="910"/>
      <c r="H17" s="913">
        <f>H9</f>
        <v>2901374.69</v>
      </c>
      <c r="I17" s="913"/>
      <c r="J17" s="910"/>
      <c r="K17" s="910"/>
      <c r="L17" s="913"/>
      <c r="M17" s="921">
        <v>2960958.91</v>
      </c>
      <c r="O17" s="921"/>
      <c r="P17" s="917"/>
    </row>
    <row r="18" spans="1:16">
      <c r="A18" s="912">
        <v>3</v>
      </c>
      <c r="B18" s="1037">
        <v>41306</v>
      </c>
      <c r="C18" s="1053">
        <v>2965528.66</v>
      </c>
      <c r="D18" s="1054">
        <v>0.1623</v>
      </c>
      <c r="E18" s="922">
        <f t="shared" ref="E18:E29" si="0">ROUND(C18*D18,2)</f>
        <v>481305.3</v>
      </c>
      <c r="F18" s="922">
        <f>481381.55-E18</f>
        <v>76.25</v>
      </c>
      <c r="G18" s="923">
        <f t="shared" ref="G18:G29" si="1">SUM(E18:F18)</f>
        <v>481381.55</v>
      </c>
      <c r="H18" s="921">
        <f>H17-G18</f>
        <v>2419993.14</v>
      </c>
      <c r="I18" s="921"/>
      <c r="J18" s="923"/>
      <c r="K18" s="923"/>
      <c r="L18" s="921"/>
      <c r="M18" s="921"/>
      <c r="O18" s="921"/>
      <c r="P18" s="917"/>
    </row>
    <row r="19" spans="1:16">
      <c r="A19" s="912">
        <v>4</v>
      </c>
      <c r="B19" s="918">
        <f t="shared" ref="B19:B29" si="2">EDATE(B18,1)</f>
        <v>41334</v>
      </c>
      <c r="C19" s="1053">
        <v>2668400.3199999998</v>
      </c>
      <c r="D19" s="1055">
        <f>D18</f>
        <v>0.1623</v>
      </c>
      <c r="E19" s="923">
        <f t="shared" si="0"/>
        <v>433081.37</v>
      </c>
      <c r="F19" s="922">
        <f>433085.84-E19</f>
        <v>4.470000000030268</v>
      </c>
      <c r="G19" s="923">
        <f t="shared" si="1"/>
        <v>433085.84</v>
      </c>
      <c r="H19" s="921">
        <f t="shared" ref="H19:H29" si="3">+H18-G19</f>
        <v>1986907.3</v>
      </c>
      <c r="I19" s="921"/>
      <c r="J19" s="923"/>
      <c r="K19" s="923"/>
      <c r="L19" s="921"/>
      <c r="M19" s="921"/>
      <c r="O19" s="921"/>
      <c r="P19" s="917"/>
    </row>
    <row r="20" spans="1:16">
      <c r="A20" s="912">
        <v>5</v>
      </c>
      <c r="B20" s="918">
        <f t="shared" si="2"/>
        <v>41365</v>
      </c>
      <c r="C20" s="1053">
        <v>1849231.07</v>
      </c>
      <c r="D20" s="1055">
        <f t="shared" ref="D20:D29" si="4">D19</f>
        <v>0.1623</v>
      </c>
      <c r="E20" s="923">
        <f t="shared" si="0"/>
        <v>300130.2</v>
      </c>
      <c r="F20" s="922">
        <f>300129.85-E20</f>
        <v>-0.3500000000349246</v>
      </c>
      <c r="G20" s="923">
        <f t="shared" si="1"/>
        <v>300129.84999999998</v>
      </c>
      <c r="H20" s="921">
        <f t="shared" si="3"/>
        <v>1686777.4500000002</v>
      </c>
      <c r="I20" s="921"/>
      <c r="J20" s="923"/>
      <c r="K20" s="923"/>
      <c r="L20" s="921"/>
      <c r="M20" s="921"/>
      <c r="P20" s="917"/>
    </row>
    <row r="21" spans="1:16">
      <c r="A21" s="912">
        <v>6</v>
      </c>
      <c r="B21" s="918">
        <f t="shared" si="2"/>
        <v>41395</v>
      </c>
      <c r="C21" s="1053">
        <v>1010896.97</v>
      </c>
      <c r="D21" s="1055">
        <f t="shared" si="4"/>
        <v>0.1623</v>
      </c>
      <c r="E21" s="923">
        <f t="shared" si="0"/>
        <v>164068.57999999999</v>
      </c>
      <c r="F21" s="922">
        <f>163846.47-E21</f>
        <v>-222.10999999998603</v>
      </c>
      <c r="G21" s="923">
        <f t="shared" si="1"/>
        <v>163846.47</v>
      </c>
      <c r="H21" s="921">
        <f t="shared" si="3"/>
        <v>1522930.9800000002</v>
      </c>
      <c r="I21" s="921"/>
      <c r="J21" s="923"/>
      <c r="K21" s="923"/>
      <c r="L21" s="921"/>
      <c r="M21" s="921"/>
      <c r="P21" s="917"/>
    </row>
    <row r="22" spans="1:16">
      <c r="A22" s="912">
        <v>7</v>
      </c>
      <c r="B22" s="918">
        <f t="shared" si="2"/>
        <v>41426</v>
      </c>
      <c r="C22" s="1053">
        <v>464609.3</v>
      </c>
      <c r="D22" s="1055">
        <f t="shared" si="4"/>
        <v>0.1623</v>
      </c>
      <c r="E22" s="923">
        <f t="shared" si="0"/>
        <v>75406.09</v>
      </c>
      <c r="F22" s="922">
        <f>75840.21-E22</f>
        <v>434.1200000000099</v>
      </c>
      <c r="G22" s="923">
        <f t="shared" si="1"/>
        <v>75840.210000000006</v>
      </c>
      <c r="H22" s="921">
        <f t="shared" si="3"/>
        <v>1447090.7700000003</v>
      </c>
      <c r="I22" s="921"/>
      <c r="J22" s="923"/>
      <c r="K22" s="923"/>
      <c r="L22" s="921"/>
      <c r="M22" s="921"/>
      <c r="P22" s="917"/>
    </row>
    <row r="23" spans="1:16">
      <c r="A23" s="912">
        <v>8</v>
      </c>
      <c r="B23" s="918">
        <f t="shared" si="2"/>
        <v>41456</v>
      </c>
      <c r="C23" s="1053">
        <v>374061.81</v>
      </c>
      <c r="D23" s="1055">
        <f t="shared" si="4"/>
        <v>0.1623</v>
      </c>
      <c r="E23" s="923">
        <f t="shared" si="0"/>
        <v>60710.23</v>
      </c>
      <c r="F23" s="922">
        <f>61210.59-E23</f>
        <v>500.35999999999331</v>
      </c>
      <c r="G23" s="923">
        <f t="shared" si="1"/>
        <v>61210.59</v>
      </c>
      <c r="H23" s="921">
        <f t="shared" si="3"/>
        <v>1385880.1800000002</v>
      </c>
      <c r="I23" s="921"/>
      <c r="J23" s="923"/>
      <c r="K23" s="923"/>
      <c r="L23" s="921"/>
      <c r="M23" s="921"/>
      <c r="P23" s="917"/>
    </row>
    <row r="24" spans="1:16">
      <c r="A24" s="912">
        <v>9</v>
      </c>
      <c r="B24" s="918">
        <f t="shared" si="2"/>
        <v>41487</v>
      </c>
      <c r="C24" s="1053">
        <v>359036.8</v>
      </c>
      <c r="D24" s="1055">
        <f t="shared" si="4"/>
        <v>0.1623</v>
      </c>
      <c r="E24" s="923">
        <f t="shared" si="0"/>
        <v>58271.67</v>
      </c>
      <c r="F24" s="922">
        <f>58786.85-E24</f>
        <v>515.18000000000029</v>
      </c>
      <c r="G24" s="923">
        <f t="shared" si="1"/>
        <v>58786.85</v>
      </c>
      <c r="H24" s="921">
        <f t="shared" si="3"/>
        <v>1327093.33</v>
      </c>
      <c r="I24" s="921"/>
      <c r="J24" s="923"/>
      <c r="K24" s="923"/>
      <c r="L24" s="923"/>
      <c r="M24" s="921"/>
      <c r="P24" s="917"/>
    </row>
    <row r="25" spans="1:16">
      <c r="A25" s="912">
        <v>10</v>
      </c>
      <c r="B25" s="918">
        <f t="shared" si="2"/>
        <v>41518</v>
      </c>
      <c r="C25" s="1053">
        <v>396523.41</v>
      </c>
      <c r="D25" s="1055">
        <f t="shared" si="4"/>
        <v>0.1623</v>
      </c>
      <c r="E25" s="923">
        <f t="shared" si="0"/>
        <v>64355.75</v>
      </c>
      <c r="F25" s="922">
        <f>64646.75-E25</f>
        <v>291</v>
      </c>
      <c r="G25" s="923">
        <f t="shared" si="1"/>
        <v>64646.75</v>
      </c>
      <c r="H25" s="921">
        <f t="shared" si="3"/>
        <v>1262446.58</v>
      </c>
      <c r="I25" s="921"/>
      <c r="J25" s="923"/>
      <c r="K25" s="923"/>
      <c r="L25" s="921"/>
      <c r="M25" s="921"/>
      <c r="P25" s="917"/>
    </row>
    <row r="26" spans="1:16">
      <c r="A26" s="912">
        <v>11</v>
      </c>
      <c r="B26" s="918">
        <f t="shared" si="2"/>
        <v>41548</v>
      </c>
      <c r="C26" s="1053">
        <v>543451.28</v>
      </c>
      <c r="D26" s="1055">
        <f t="shared" si="4"/>
        <v>0.1623</v>
      </c>
      <c r="E26" s="923">
        <f t="shared" si="0"/>
        <v>88202.14</v>
      </c>
      <c r="F26" s="922">
        <f>88478.58-E26</f>
        <v>276.44000000000233</v>
      </c>
      <c r="G26" s="923">
        <f t="shared" si="1"/>
        <v>88478.58</v>
      </c>
      <c r="H26" s="921">
        <f t="shared" si="3"/>
        <v>1173968</v>
      </c>
      <c r="I26" s="921"/>
      <c r="J26" s="923"/>
      <c r="K26" s="923"/>
      <c r="L26" s="921"/>
      <c r="M26" s="921"/>
    </row>
    <row r="27" spans="1:16">
      <c r="A27" s="912">
        <v>12</v>
      </c>
      <c r="B27" s="918">
        <f t="shared" si="2"/>
        <v>41579</v>
      </c>
      <c r="C27" s="1053">
        <v>1441748.92</v>
      </c>
      <c r="D27" s="1055">
        <f t="shared" si="4"/>
        <v>0.1623</v>
      </c>
      <c r="E27" s="923">
        <f t="shared" si="0"/>
        <v>233995.85</v>
      </c>
      <c r="F27" s="922">
        <f>234508.04-E27</f>
        <v>512.19000000000233</v>
      </c>
      <c r="G27" s="923">
        <f t="shared" si="1"/>
        <v>234508.04</v>
      </c>
      <c r="H27" s="921">
        <f t="shared" si="3"/>
        <v>939459.96</v>
      </c>
      <c r="I27" s="921"/>
      <c r="J27" s="923"/>
      <c r="K27" s="923"/>
      <c r="L27" s="923"/>
      <c r="M27" s="921"/>
    </row>
    <row r="28" spans="1:16">
      <c r="A28" s="912">
        <v>13</v>
      </c>
      <c r="B28" s="918">
        <f t="shared" si="2"/>
        <v>41609</v>
      </c>
      <c r="C28" s="1053">
        <v>2663363.58</v>
      </c>
      <c r="D28" s="1055">
        <f t="shared" si="4"/>
        <v>0.1623</v>
      </c>
      <c r="E28" s="923">
        <f t="shared" si="0"/>
        <v>432263.91</v>
      </c>
      <c r="F28" s="922">
        <f>432609.93-E28</f>
        <v>346.02000000001863</v>
      </c>
      <c r="G28" s="923">
        <f t="shared" si="1"/>
        <v>432609.93</v>
      </c>
      <c r="H28" s="921">
        <f t="shared" si="3"/>
        <v>506850.02999999997</v>
      </c>
      <c r="I28" s="921"/>
      <c r="J28" s="923"/>
      <c r="K28" s="923"/>
      <c r="L28" s="921"/>
      <c r="M28" s="921"/>
    </row>
    <row r="29" spans="1:16">
      <c r="A29" s="912">
        <v>14</v>
      </c>
      <c r="B29" s="918">
        <f t="shared" si="2"/>
        <v>41640</v>
      </c>
      <c r="C29" s="1053">
        <v>3699765.61</v>
      </c>
      <c r="D29" s="1055">
        <f t="shared" si="4"/>
        <v>0.1623</v>
      </c>
      <c r="E29" s="923">
        <f t="shared" si="0"/>
        <v>600471.96</v>
      </c>
      <c r="F29" s="922">
        <f>600572.15-E29</f>
        <v>100.19000000006054</v>
      </c>
      <c r="G29" s="923">
        <f t="shared" si="1"/>
        <v>600572.15</v>
      </c>
      <c r="H29" s="921">
        <f t="shared" si="3"/>
        <v>-93722.120000000054</v>
      </c>
      <c r="I29" s="921"/>
      <c r="J29" s="923"/>
      <c r="K29" s="923"/>
      <c r="L29" s="921"/>
      <c r="M29" s="921"/>
    </row>
    <row r="30" spans="1:16">
      <c r="A30" s="912">
        <v>15</v>
      </c>
      <c r="C30" s="1056"/>
      <c r="D30" s="1056"/>
    </row>
    <row r="31" spans="1:16" ht="13.5" thickBot="1">
      <c r="A31" s="912">
        <v>16</v>
      </c>
      <c r="B31" s="903" t="s">
        <v>245</v>
      </c>
      <c r="C31" s="924">
        <f>SUM(C18:C29)</f>
        <v>18436617.730000004</v>
      </c>
      <c r="D31" s="925"/>
      <c r="E31" s="926">
        <f>SUM(E18:E29)</f>
        <v>2992263.05</v>
      </c>
      <c r="F31" s="926">
        <f>SUM(F18:F29)</f>
        <v>2833.7600000000966</v>
      </c>
      <c r="G31" s="926">
        <f>SUM(G18:G29)</f>
        <v>2995096.81</v>
      </c>
      <c r="H31" s="926">
        <f>H29</f>
        <v>-93722.120000000054</v>
      </c>
      <c r="I31" s="907"/>
      <c r="J31" s="927">
        <f>SUM(J18:J29)</f>
        <v>0</v>
      </c>
      <c r="K31" s="928"/>
      <c r="L31" s="907"/>
      <c r="M31" s="921"/>
    </row>
    <row r="32" spans="1:16" ht="13.5" thickTop="1">
      <c r="A32" s="912">
        <v>17</v>
      </c>
      <c r="B32" s="918"/>
    </row>
    <row r="33" spans="1:15">
      <c r="A33" s="912">
        <v>18</v>
      </c>
      <c r="B33" s="918"/>
      <c r="H33" s="907"/>
      <c r="I33" s="907"/>
      <c r="J33" s="914" t="s">
        <v>1020</v>
      </c>
      <c r="K33" s="914" t="s">
        <v>1021</v>
      </c>
      <c r="L33" s="929" t="s">
        <v>1022</v>
      </c>
      <c r="M33" s="914" t="s">
        <v>1023</v>
      </c>
    </row>
    <row r="34" spans="1:15" ht="15">
      <c r="A34" s="912">
        <v>19</v>
      </c>
      <c r="B34" s="918">
        <v>40848</v>
      </c>
      <c r="J34" s="921"/>
      <c r="K34" s="921"/>
      <c r="L34" s="930"/>
      <c r="M34" s="921"/>
      <c r="O34" s="931"/>
    </row>
    <row r="35" spans="1:15" ht="15">
      <c r="A35" s="912">
        <v>20</v>
      </c>
      <c r="B35" s="918">
        <v>40878</v>
      </c>
      <c r="J35" s="921"/>
      <c r="K35" s="921"/>
      <c r="L35" s="930"/>
      <c r="M35" s="921"/>
      <c r="O35" s="931"/>
    </row>
    <row r="36" spans="1:15" ht="15">
      <c r="A36" s="912">
        <v>21</v>
      </c>
      <c r="B36" s="918">
        <v>40909</v>
      </c>
      <c r="J36" s="921"/>
      <c r="K36" s="921"/>
      <c r="L36" s="930"/>
      <c r="M36" s="921"/>
      <c r="O36" s="931"/>
    </row>
    <row r="37" spans="1:15" ht="15">
      <c r="A37" s="912">
        <v>22</v>
      </c>
      <c r="B37" s="918">
        <v>40940</v>
      </c>
      <c r="J37" s="921"/>
      <c r="K37" s="921"/>
      <c r="L37" s="930"/>
      <c r="M37" s="921"/>
      <c r="O37" s="931"/>
    </row>
    <row r="38" spans="1:15" ht="15">
      <c r="A38" s="912">
        <v>23</v>
      </c>
      <c r="B38" s="918">
        <v>40969</v>
      </c>
      <c r="J38" s="921"/>
      <c r="K38" s="921"/>
      <c r="L38" s="930"/>
      <c r="M38" s="921"/>
      <c r="O38" s="931"/>
    </row>
    <row r="39" spans="1:15" ht="15">
      <c r="A39" s="912">
        <v>24</v>
      </c>
      <c r="B39" s="918">
        <v>41000</v>
      </c>
      <c r="J39" s="921"/>
      <c r="K39" s="921"/>
      <c r="L39" s="930"/>
      <c r="M39" s="921"/>
      <c r="O39" s="931"/>
    </row>
    <row r="40" spans="1:15" ht="15">
      <c r="A40" s="912">
        <v>25</v>
      </c>
      <c r="B40" s="918">
        <v>41030</v>
      </c>
      <c r="J40" s="921"/>
      <c r="K40" s="921"/>
      <c r="L40" s="930"/>
      <c r="M40" s="921"/>
      <c r="O40" s="931"/>
    </row>
    <row r="41" spans="1:15" ht="15">
      <c r="A41" s="912">
        <v>26</v>
      </c>
      <c r="B41" s="918">
        <v>41061</v>
      </c>
      <c r="J41" s="921"/>
      <c r="K41" s="921"/>
      <c r="L41" s="930"/>
      <c r="M41" s="921"/>
      <c r="O41" s="931"/>
    </row>
    <row r="42" spans="1:15" ht="15">
      <c r="A42" s="912">
        <v>27</v>
      </c>
      <c r="B42" s="918">
        <v>41091</v>
      </c>
      <c r="J42" s="921"/>
      <c r="K42" s="921"/>
      <c r="L42" s="930"/>
      <c r="M42" s="921"/>
      <c r="O42" s="931"/>
    </row>
    <row r="43" spans="1:15" ht="15">
      <c r="A43" s="912">
        <v>28</v>
      </c>
      <c r="B43" s="918">
        <v>41122</v>
      </c>
      <c r="J43" s="921"/>
      <c r="K43" s="923"/>
      <c r="L43" s="930"/>
      <c r="M43" s="921"/>
      <c r="O43" s="931"/>
    </row>
    <row r="44" spans="1:15" ht="15">
      <c r="A44" s="912">
        <v>29</v>
      </c>
      <c r="B44" s="918">
        <v>41153</v>
      </c>
      <c r="H44" s="931"/>
      <c r="J44" s="921"/>
      <c r="K44" s="921"/>
      <c r="L44" s="930"/>
      <c r="M44" s="921"/>
      <c r="O44" s="931"/>
    </row>
    <row r="45" spans="1:15" ht="15">
      <c r="A45" s="912">
        <v>30</v>
      </c>
      <c r="B45" s="918">
        <v>41183</v>
      </c>
      <c r="J45" s="921"/>
      <c r="K45" s="921"/>
      <c r="L45" s="930"/>
      <c r="M45" s="921"/>
      <c r="O45" s="931"/>
    </row>
    <row r="46" spans="1:15">
      <c r="A46" s="912">
        <v>31</v>
      </c>
    </row>
    <row r="47" spans="1:15" ht="13.5" thickBot="1">
      <c r="A47" s="912">
        <v>32</v>
      </c>
      <c r="B47" s="903" t="s">
        <v>245</v>
      </c>
      <c r="J47" s="927">
        <f>SUM(J34:J45)</f>
        <v>0</v>
      </c>
      <c r="K47" s="927">
        <f>SUM(K34:K45)</f>
        <v>0</v>
      </c>
      <c r="M47" s="921">
        <f>SUM(M34:M45)</f>
        <v>0</v>
      </c>
    </row>
    <row r="48" spans="1:15" ht="13.5" thickTop="1">
      <c r="A48" s="912">
        <v>33</v>
      </c>
    </row>
    <row r="49" spans="8:11">
      <c r="H49" s="906" t="s">
        <v>1024</v>
      </c>
      <c r="I49" s="906"/>
      <c r="J49" s="921">
        <f>J47+K47</f>
        <v>0</v>
      </c>
      <c r="K49" s="921"/>
    </row>
    <row r="51" spans="8:11">
      <c r="J51" s="921"/>
    </row>
    <row r="55" spans="8:11">
      <c r="J55" s="921"/>
    </row>
  </sheetData>
  <mergeCells count="2">
    <mergeCell ref="J9:M9"/>
    <mergeCell ref="L11:L14"/>
  </mergeCells>
  <pageMargins left="0.7" right="0.7" top="0.75" bottom="0.75" header="0.3" footer="0.3"/>
  <pageSetup orientation="landscape" r:id="rId1"/>
  <headerFooter alignWithMargins="0"/>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election activeCell="E33" sqref="E33"/>
    </sheetView>
  </sheetViews>
  <sheetFormatPr defaultRowHeight="15"/>
  <sheetData/>
  <pageMargins left="0.7" right="0.7" top="0.75" bottom="0.75" header="0.3" footer="0.3"/>
  <pageSetup orientation="portrait" r:id="rId1"/>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E23"/>
  <sheetViews>
    <sheetView showGridLines="0" zoomScale="120" zoomScaleNormal="120" workbookViewId="0">
      <selection activeCell="E33" sqref="E33"/>
    </sheetView>
  </sheetViews>
  <sheetFormatPr defaultColWidth="9.140625" defaultRowHeight="12.75"/>
  <cols>
    <col min="1" max="1" width="18.42578125" style="31" bestFit="1" customWidth="1"/>
    <col min="2" max="3" width="14.85546875" style="564" customWidth="1"/>
    <col min="4" max="4" width="9.140625" style="520"/>
    <col min="5" max="5" width="26.140625" style="589" bestFit="1" customWidth="1"/>
    <col min="6" max="16384" width="9.140625" style="520"/>
  </cols>
  <sheetData>
    <row r="1" spans="1:3" ht="21.75" customHeight="1">
      <c r="A1" s="1140" t="s">
        <v>683</v>
      </c>
      <c r="B1" s="1140"/>
      <c r="C1" s="1140"/>
    </row>
    <row r="2" spans="1:3">
      <c r="B2" s="521" t="s">
        <v>5</v>
      </c>
      <c r="C2" s="521" t="s">
        <v>4</v>
      </c>
    </row>
    <row r="3" spans="1:3" ht="4.5" customHeight="1">
      <c r="B3" s="565"/>
      <c r="C3" s="565"/>
    </row>
    <row r="4" spans="1:3">
      <c r="A4" s="576" t="s">
        <v>3</v>
      </c>
      <c r="B4" s="588">
        <f>MAX('WP-T.1'!A:A)</f>
        <v>42309</v>
      </c>
      <c r="C4" s="566">
        <v>42217</v>
      </c>
    </row>
    <row r="5" spans="1:3">
      <c r="A5" s="676" t="s">
        <v>2</v>
      </c>
      <c r="B5" s="807">
        <v>42277</v>
      </c>
      <c r="C5" s="677">
        <v>42185</v>
      </c>
    </row>
    <row r="6" spans="1:3">
      <c r="A6" s="678" t="s">
        <v>799</v>
      </c>
      <c r="B6" s="679" t="str">
        <f>IF(VLOOKUP(EffectiveDate,'WP-T.1'!A:H,8,FALSE)=0,"N/A",VLOOKUP(EffectiveDate,'WP-T.1'!A:H,8,FALSE))</f>
        <v>N/A</v>
      </c>
      <c r="C6" s="1061">
        <f>MAX('WP-T.1'!H:H)</f>
        <v>42109</v>
      </c>
    </row>
    <row r="7" spans="1:3" ht="9" customHeight="1">
      <c r="A7" s="578"/>
      <c r="B7" s="574"/>
      <c r="C7" s="575"/>
    </row>
    <row r="8" spans="1:3">
      <c r="A8" s="576" t="s">
        <v>19</v>
      </c>
      <c r="B8" s="587" t="str">
        <f>VLOOKUP(EffectiveDate,'WP-T.1'!A:D,2,FALSE)</f>
        <v>2015-00000</v>
      </c>
      <c r="C8" s="584" t="s">
        <v>1166</v>
      </c>
    </row>
    <row r="9" spans="1:3">
      <c r="A9" s="577" t="s">
        <v>723</v>
      </c>
      <c r="B9" s="586" t="str">
        <f>VLOOKUP(EffectiveDate,'WP-T.1'!A:D,3,FALSE)</f>
        <v>EIGHTH</v>
      </c>
      <c r="C9" s="585" t="s">
        <v>1154</v>
      </c>
    </row>
    <row r="10" spans="1:3" ht="9" customHeight="1">
      <c r="A10" s="578"/>
      <c r="B10" s="567"/>
    </row>
    <row r="11" spans="1:3">
      <c r="A11" s="1137" t="s">
        <v>680</v>
      </c>
      <c r="B11" s="568">
        <f>EffectiveDate</f>
        <v>42309</v>
      </c>
      <c r="C11" s="569">
        <v>42217</v>
      </c>
    </row>
    <row r="12" spans="1:3">
      <c r="A12" s="1138"/>
      <c r="B12" s="570">
        <f>EDATE(B11,1)</f>
        <v>42339</v>
      </c>
      <c r="C12" s="571">
        <v>42248</v>
      </c>
    </row>
    <row r="13" spans="1:3">
      <c r="A13" s="1139"/>
      <c r="B13" s="572">
        <f>EDATE(B12,1)</f>
        <v>42370</v>
      </c>
      <c r="C13" s="573">
        <v>42278</v>
      </c>
    </row>
    <row r="14" spans="1:3" ht="3.75" customHeight="1">
      <c r="A14" s="578"/>
      <c r="B14" s="574"/>
      <c r="C14" s="575"/>
    </row>
    <row r="15" spans="1:3">
      <c r="A15" s="1137" t="s">
        <v>681</v>
      </c>
      <c r="B15" s="568">
        <f>EDATE(EffectiveDate,-6)</f>
        <v>42125</v>
      </c>
      <c r="C15" s="569">
        <v>42036</v>
      </c>
    </row>
    <row r="16" spans="1:3">
      <c r="A16" s="1138"/>
      <c r="B16" s="570">
        <f>EDATE(CF_Month_1,1)</f>
        <v>42156</v>
      </c>
      <c r="C16" s="571">
        <v>42064</v>
      </c>
    </row>
    <row r="17" spans="1:3">
      <c r="A17" s="1139"/>
      <c r="B17" s="572">
        <f>EDATE(CF_Month_2,1)</f>
        <v>42186</v>
      </c>
      <c r="C17" s="573">
        <v>42095</v>
      </c>
    </row>
    <row r="18" spans="1:3" ht="3.75" customHeight="1">
      <c r="A18" s="578"/>
      <c r="B18" s="574"/>
      <c r="C18" s="575"/>
    </row>
    <row r="19" spans="1:3">
      <c r="A19" s="1137" t="s">
        <v>682</v>
      </c>
      <c r="B19" s="568">
        <f>EDATE(CF_Month_1,1)</f>
        <v>42156</v>
      </c>
      <c r="C19" s="569">
        <v>42064</v>
      </c>
    </row>
    <row r="20" spans="1:3">
      <c r="A20" s="1138"/>
      <c r="B20" s="570">
        <f>EDATE(CF_Month_2,1)</f>
        <v>42186</v>
      </c>
      <c r="C20" s="571">
        <v>42095</v>
      </c>
    </row>
    <row r="21" spans="1:3">
      <c r="A21" s="1139"/>
      <c r="B21" s="572">
        <f>EDATE(CF_Month_3,1)</f>
        <v>42217</v>
      </c>
      <c r="C21" s="573">
        <v>42125</v>
      </c>
    </row>
    <row r="23" spans="1:3">
      <c r="A23" s="1141" t="s">
        <v>725</v>
      </c>
      <c r="B23" s="1141"/>
      <c r="C23" s="1141"/>
    </row>
  </sheetData>
  <mergeCells count="5">
    <mergeCell ref="A15:A17"/>
    <mergeCell ref="A19:A21"/>
    <mergeCell ref="A11:A13"/>
    <mergeCell ref="A1:C1"/>
    <mergeCell ref="A23:C23"/>
  </mergeCells>
  <hyperlinks>
    <hyperlink ref="A23:C23" location="'WP-T.1'!A1" display="Update WPT.1 - Tariff Revisions Table First"/>
  </hyperlinks>
  <pageMargins left="0.75" right="0.75" top="1" bottom="1" header="0.5" footer="0.5"/>
  <pageSetup orientation="portrait" r:id="rId1"/>
  <headerFooter alignWithMargins="0"/>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K80"/>
  <sheetViews>
    <sheetView showGridLines="0" topLeftCell="A4" zoomScale="115" zoomScaleNormal="115" zoomScalePageLayoutView="85" workbookViewId="0">
      <selection activeCell="J20" sqref="J20"/>
    </sheetView>
  </sheetViews>
  <sheetFormatPr defaultColWidth="9.7109375" defaultRowHeight="12.75"/>
  <cols>
    <col min="1" max="1" width="3.85546875" style="1" customWidth="1"/>
    <col min="2" max="2" width="2.85546875" style="1" customWidth="1"/>
    <col min="3" max="3" width="7.42578125" style="1" customWidth="1"/>
    <col min="4" max="4" width="3.140625" style="1" customWidth="1"/>
    <col min="5" max="5" width="7.42578125" style="1" customWidth="1"/>
    <col min="6" max="6" width="2.28515625" style="1" customWidth="1"/>
    <col min="7" max="7" width="5" style="1" customWidth="1"/>
    <col min="8" max="8" width="2.28515625" style="1" customWidth="1"/>
    <col min="9" max="9" width="3.42578125" style="1" customWidth="1"/>
    <col min="10" max="10" width="11" style="1" customWidth="1"/>
    <col min="11" max="11" width="3.140625" style="1" customWidth="1"/>
    <col min="12" max="12" width="8.7109375" style="1" customWidth="1"/>
    <col min="13" max="13" width="2.85546875" style="1" customWidth="1"/>
    <col min="14" max="14" width="9.42578125" style="1" customWidth="1"/>
    <col min="15" max="15" width="3.85546875" style="1" customWidth="1"/>
    <col min="16" max="16" width="5.7109375" style="1" customWidth="1"/>
    <col min="17" max="17" width="2.7109375" style="1" customWidth="1"/>
    <col min="18" max="18" width="10" style="1" customWidth="1"/>
    <col min="19" max="19" width="4.42578125" style="1" customWidth="1"/>
    <col min="20" max="20" width="6.28515625" style="1" customWidth="1"/>
    <col min="21" max="21" width="1.140625" style="1" customWidth="1"/>
    <col min="22" max="22" width="2.7109375" style="36" customWidth="1"/>
    <col min="23" max="23" width="4.85546875" style="36" bestFit="1" customWidth="1"/>
    <col min="24" max="24" width="9.7109375" style="1"/>
    <col min="25" max="25" width="11.7109375" style="1" bestFit="1" customWidth="1"/>
    <col min="26" max="16384" width="9.7109375" style="1"/>
  </cols>
  <sheetData>
    <row r="1" spans="1:37" ht="19.5" customHeight="1">
      <c r="A1" s="37"/>
      <c r="B1" s="37"/>
      <c r="C1" s="37"/>
      <c r="D1" s="37"/>
      <c r="E1" s="37"/>
      <c r="F1" s="37"/>
      <c r="G1" s="37"/>
      <c r="H1" s="37"/>
      <c r="I1" s="37"/>
      <c r="J1" s="37"/>
      <c r="K1" s="37"/>
      <c r="L1" s="37"/>
      <c r="M1" s="37"/>
      <c r="N1" s="37"/>
      <c r="O1" s="37"/>
      <c r="P1" s="688" t="s">
        <v>847</v>
      </c>
      <c r="Q1" s="689"/>
      <c r="R1" s="689"/>
      <c r="S1" s="689"/>
      <c r="T1" s="690"/>
      <c r="U1" s="690"/>
      <c r="V1" s="691"/>
      <c r="W1" s="38"/>
      <c r="X1" s="37"/>
      <c r="Y1" s="37"/>
      <c r="Z1" s="37"/>
      <c r="AA1" s="37"/>
      <c r="AB1" s="37"/>
      <c r="AC1" s="37"/>
      <c r="AD1" s="37"/>
      <c r="AE1" s="37"/>
      <c r="AF1" s="37"/>
      <c r="AG1" s="37"/>
      <c r="AH1" s="37"/>
      <c r="AI1" s="37"/>
      <c r="AJ1" s="37"/>
      <c r="AK1" s="37"/>
    </row>
    <row r="2" spans="1:37" ht="19.5" customHeight="1">
      <c r="A2" s="37"/>
      <c r="B2" s="37"/>
      <c r="C2" s="37"/>
      <c r="D2" s="37"/>
      <c r="E2" s="37"/>
      <c r="F2" s="37"/>
      <c r="G2" s="37"/>
      <c r="H2" s="37"/>
      <c r="I2" s="37"/>
      <c r="J2" s="37"/>
      <c r="K2" s="37"/>
      <c r="L2" s="37"/>
      <c r="M2" s="37"/>
      <c r="N2" s="37"/>
      <c r="O2" s="37"/>
      <c r="R2" s="984" t="s">
        <v>1032</v>
      </c>
      <c r="S2" s="984"/>
      <c r="T2" s="985"/>
      <c r="U2" s="690"/>
      <c r="V2" s="691"/>
      <c r="W2" s="38"/>
      <c r="X2" s="37"/>
      <c r="Y2" s="68"/>
      <c r="Z2" s="37"/>
      <c r="AA2" s="37"/>
      <c r="AB2" s="37"/>
      <c r="AC2" s="37"/>
      <c r="AD2" s="37"/>
      <c r="AE2" s="37"/>
      <c r="AF2" s="37"/>
      <c r="AG2" s="37"/>
      <c r="AH2" s="37"/>
      <c r="AI2" s="37"/>
      <c r="AJ2" s="37"/>
      <c r="AK2" s="37"/>
    </row>
    <row r="3" spans="1:37" ht="19.5" customHeight="1">
      <c r="A3" s="37"/>
      <c r="B3" s="37"/>
      <c r="C3" s="67"/>
      <c r="D3" s="37"/>
      <c r="E3" s="37"/>
      <c r="F3" s="37"/>
      <c r="G3" s="37"/>
      <c r="H3" s="37"/>
      <c r="I3" s="37"/>
      <c r="J3" s="37"/>
      <c r="K3" s="37"/>
      <c r="L3" s="37"/>
      <c r="M3" s="37"/>
      <c r="N3" s="37"/>
      <c r="O3" s="37"/>
      <c r="R3" s="986" t="str">
        <f>CONCATENATE(Control!B9," REVISED SHEET NO. 4")</f>
        <v>EIGHTH REVISED SHEET NO. 4</v>
      </c>
      <c r="S3" s="986"/>
      <c r="T3" s="985"/>
      <c r="U3" s="690"/>
      <c r="V3" s="691"/>
      <c r="W3" s="38"/>
      <c r="X3" s="37"/>
      <c r="Y3" s="37"/>
      <c r="Z3" s="37"/>
      <c r="AA3" s="37"/>
      <c r="AB3" s="37"/>
      <c r="AC3" s="37"/>
      <c r="AD3" s="37"/>
      <c r="AE3" s="37"/>
      <c r="AF3" s="37"/>
      <c r="AG3" s="37"/>
      <c r="AH3" s="37"/>
      <c r="AI3" s="37"/>
      <c r="AJ3" s="37"/>
      <c r="AK3" s="37"/>
    </row>
    <row r="4" spans="1:37" ht="19.5" customHeight="1">
      <c r="A4" s="37"/>
      <c r="B4" s="1102" t="s">
        <v>78</v>
      </c>
      <c r="C4" s="1102"/>
      <c r="D4" s="1102"/>
      <c r="E4" s="1102"/>
      <c r="F4" s="1102"/>
      <c r="G4" s="1102"/>
      <c r="H4" s="1102"/>
      <c r="I4" s="1102"/>
      <c r="J4" s="37"/>
      <c r="K4" s="37"/>
      <c r="L4" s="37"/>
      <c r="M4" s="37"/>
      <c r="N4" s="37"/>
      <c r="O4" s="37"/>
      <c r="R4" s="986" t="s">
        <v>848</v>
      </c>
      <c r="S4" s="986"/>
      <c r="T4" s="985"/>
      <c r="U4" s="690"/>
      <c r="V4" s="691"/>
      <c r="W4" s="38"/>
      <c r="X4" s="37"/>
      <c r="Y4" s="37"/>
      <c r="Z4" s="37"/>
      <c r="AA4" s="37"/>
      <c r="AB4" s="37"/>
      <c r="AC4" s="37"/>
      <c r="AD4" s="37"/>
      <c r="AE4" s="37"/>
      <c r="AF4" s="37"/>
      <c r="AG4" s="37"/>
      <c r="AH4" s="37"/>
      <c r="AI4" s="37"/>
      <c r="AJ4" s="37"/>
      <c r="AK4" s="37"/>
    </row>
    <row r="5" spans="1:37" ht="19.5" customHeight="1">
      <c r="A5" s="37"/>
      <c r="B5" s="1103" t="s">
        <v>846</v>
      </c>
      <c r="C5" s="1103"/>
      <c r="D5" s="1103"/>
      <c r="E5" s="1103"/>
      <c r="F5" s="1103"/>
      <c r="G5" s="1103"/>
      <c r="H5" s="1103"/>
      <c r="I5" s="1103"/>
      <c r="J5" s="45"/>
      <c r="K5" s="45"/>
      <c r="L5" s="45"/>
      <c r="M5" s="45"/>
      <c r="N5" s="45"/>
      <c r="O5" s="45"/>
      <c r="R5" s="987" t="str">
        <f>CONCATENATE(Control!C9," REVISED SHEET NO. 4")</f>
        <v>SEVENTH REVISED SHEET NO. 4</v>
      </c>
      <c r="S5" s="987"/>
      <c r="T5" s="988"/>
      <c r="U5" s="690"/>
      <c r="V5" s="691"/>
      <c r="W5" s="38"/>
      <c r="X5" s="37"/>
      <c r="Y5" s="37"/>
      <c r="Z5" s="37"/>
      <c r="AA5" s="37"/>
      <c r="AB5" s="37"/>
      <c r="AC5" s="37"/>
      <c r="AD5" s="37"/>
      <c r="AE5" s="37"/>
      <c r="AF5" s="37"/>
      <c r="AG5" s="37"/>
      <c r="AH5" s="37"/>
      <c r="AI5" s="37"/>
      <c r="AJ5" s="37"/>
      <c r="AK5" s="37"/>
    </row>
    <row r="6" spans="1:37" ht="6" customHeight="1" thickBot="1">
      <c r="A6" s="37"/>
      <c r="B6" s="681"/>
      <c r="C6" s="681"/>
      <c r="D6" s="681"/>
      <c r="E6" s="681"/>
      <c r="F6" s="681"/>
      <c r="G6" s="681"/>
      <c r="H6" s="681"/>
      <c r="I6" s="681"/>
      <c r="J6" s="680"/>
      <c r="K6" s="680"/>
      <c r="L6" s="680"/>
      <c r="M6" s="680"/>
      <c r="N6" s="680"/>
      <c r="O6" s="680"/>
      <c r="P6" s="695"/>
      <c r="Q6" s="696"/>
      <c r="R6" s="696"/>
      <c r="S6" s="696"/>
      <c r="T6" s="697"/>
      <c r="U6" s="697"/>
      <c r="V6" s="698"/>
      <c r="W6" s="38"/>
      <c r="X6" s="37"/>
      <c r="Y6" s="37"/>
      <c r="Z6" s="37"/>
      <c r="AA6" s="37"/>
      <c r="AB6" s="37"/>
      <c r="AC6" s="37"/>
      <c r="AD6" s="37"/>
      <c r="AE6" s="37"/>
      <c r="AF6" s="37"/>
      <c r="AG6" s="37"/>
      <c r="AH6" s="37"/>
      <c r="AI6" s="37"/>
      <c r="AJ6" s="37"/>
      <c r="AK6" s="37"/>
    </row>
    <row r="7" spans="1:37" ht="9" customHeight="1">
      <c r="A7" s="37"/>
      <c r="C7" s="37"/>
      <c r="D7" s="37"/>
      <c r="E7" s="37"/>
      <c r="F7" s="37"/>
      <c r="G7" s="37"/>
      <c r="H7" s="37"/>
      <c r="I7" s="37"/>
      <c r="J7" s="37"/>
      <c r="K7" s="37"/>
      <c r="L7" s="37"/>
      <c r="M7" s="37"/>
      <c r="N7" s="37"/>
      <c r="O7" s="37"/>
      <c r="P7" s="37"/>
      <c r="Q7" s="37"/>
      <c r="R7" s="37"/>
      <c r="S7" s="37"/>
      <c r="T7" s="37"/>
      <c r="U7" s="37"/>
      <c r="V7" s="38"/>
      <c r="W7" s="38"/>
      <c r="X7" s="37"/>
      <c r="Y7" s="37"/>
      <c r="Z7" s="37"/>
      <c r="AA7" s="37"/>
      <c r="AB7" s="37"/>
      <c r="AC7" s="37"/>
      <c r="AD7" s="37"/>
      <c r="AE7" s="37"/>
      <c r="AF7" s="37"/>
      <c r="AG7" s="37"/>
      <c r="AH7" s="37"/>
      <c r="AI7" s="37"/>
      <c r="AJ7" s="37"/>
      <c r="AK7" s="37"/>
    </row>
    <row r="8" spans="1:37" ht="15.75">
      <c r="A8" s="37"/>
      <c r="B8" s="1105" t="s">
        <v>724</v>
      </c>
      <c r="C8" s="1106"/>
      <c r="D8" s="1106"/>
      <c r="E8" s="1106"/>
      <c r="F8" s="1106"/>
      <c r="G8" s="1106"/>
      <c r="H8" s="1106"/>
      <c r="I8" s="1106"/>
      <c r="J8" s="1106"/>
      <c r="K8" s="1106"/>
      <c r="L8" s="1106"/>
      <c r="M8" s="1106"/>
      <c r="N8" s="1106"/>
      <c r="O8" s="1106"/>
      <c r="P8" s="1106"/>
      <c r="Q8" s="1106"/>
      <c r="R8" s="1106"/>
      <c r="S8" s="1106"/>
      <c r="T8" s="1107"/>
      <c r="U8" s="37"/>
      <c r="V8" s="38"/>
      <c r="W8" s="38"/>
      <c r="X8" s="37"/>
      <c r="Y8" s="37"/>
      <c r="Z8" s="37"/>
      <c r="AA8" s="37"/>
      <c r="AB8" s="37"/>
      <c r="AC8" s="37"/>
      <c r="AD8" s="37"/>
      <c r="AE8" s="37"/>
      <c r="AF8" s="37"/>
      <c r="AG8" s="37"/>
      <c r="AH8" s="37"/>
      <c r="AI8" s="37"/>
      <c r="AJ8" s="37"/>
      <c r="AK8" s="37"/>
    </row>
    <row r="9" spans="1:37">
      <c r="A9" s="37"/>
      <c r="B9" s="1108" t="str">
        <f>CONCATENATE("Case No. ",Control!B8)</f>
        <v>Case No. 2015-00000</v>
      </c>
      <c r="C9" s="1109"/>
      <c r="D9" s="1109"/>
      <c r="E9" s="1109"/>
      <c r="F9" s="1109"/>
      <c r="G9" s="1109"/>
      <c r="H9" s="1109"/>
      <c r="I9" s="1109"/>
      <c r="J9" s="1109"/>
      <c r="K9" s="1109"/>
      <c r="L9" s="1109"/>
      <c r="M9" s="1109"/>
      <c r="N9" s="1109"/>
      <c r="O9" s="1109"/>
      <c r="P9" s="1109"/>
      <c r="Q9" s="1109"/>
      <c r="R9" s="1109"/>
      <c r="S9" s="1109"/>
      <c r="T9" s="1110"/>
      <c r="U9" s="37"/>
      <c r="V9" s="38"/>
      <c r="W9" s="38"/>
      <c r="X9" s="37"/>
      <c r="Y9" s="37"/>
      <c r="Z9" s="37"/>
      <c r="AA9" s="37"/>
      <c r="AB9" s="37"/>
      <c r="AC9" s="37"/>
      <c r="AD9" s="37"/>
      <c r="AE9" s="37"/>
      <c r="AF9" s="37"/>
      <c r="AG9" s="37"/>
      <c r="AH9" s="37"/>
      <c r="AI9" s="37"/>
      <c r="AJ9" s="37"/>
      <c r="AK9" s="37"/>
    </row>
    <row r="10" spans="1:37" ht="15" customHeight="1">
      <c r="A10" s="37"/>
      <c r="B10" s="673"/>
      <c r="C10" s="674"/>
      <c r="D10" s="674"/>
      <c r="E10" s="674"/>
      <c r="F10" s="674"/>
      <c r="G10" s="674"/>
      <c r="H10" s="674"/>
      <c r="I10" s="674"/>
      <c r="J10" s="674"/>
      <c r="K10" s="674"/>
      <c r="L10" s="674"/>
      <c r="M10" s="674"/>
      <c r="N10" s="674"/>
      <c r="O10" s="674"/>
      <c r="P10" s="674"/>
      <c r="Q10" s="674"/>
      <c r="R10" s="674"/>
      <c r="S10" s="674"/>
      <c r="T10" s="675"/>
      <c r="U10" s="37"/>
      <c r="V10" s="38"/>
      <c r="W10" s="38"/>
      <c r="X10" s="37"/>
      <c r="Y10" s="37"/>
      <c r="Z10" s="37"/>
      <c r="AA10" s="37"/>
      <c r="AB10" s="37"/>
      <c r="AC10" s="37"/>
      <c r="AD10" s="37"/>
      <c r="AE10" s="37"/>
      <c r="AF10" s="37"/>
      <c r="AG10" s="37"/>
      <c r="AH10" s="37"/>
      <c r="AI10" s="37"/>
      <c r="AJ10" s="37"/>
      <c r="AK10" s="37"/>
    </row>
    <row r="11" spans="1:37">
      <c r="A11" s="37"/>
      <c r="B11" s="46"/>
      <c r="C11" s="55" t="s">
        <v>77</v>
      </c>
      <c r="D11" s="45"/>
      <c r="E11" s="45"/>
      <c r="F11" s="45"/>
      <c r="G11" s="45"/>
      <c r="H11" s="45"/>
      <c r="I11" s="45"/>
      <c r="J11" s="45"/>
      <c r="K11" s="45"/>
      <c r="L11" s="45"/>
      <c r="M11" s="45"/>
      <c r="N11" s="45"/>
      <c r="O11" s="45"/>
      <c r="P11" s="45"/>
      <c r="Q11" s="45"/>
      <c r="R11" s="45"/>
      <c r="S11" s="45"/>
      <c r="T11" s="44"/>
      <c r="U11" s="37"/>
      <c r="V11" s="38"/>
      <c r="W11" s="38"/>
      <c r="X11" s="37"/>
      <c r="Y11" s="37"/>
      <c r="Z11" s="37"/>
      <c r="AA11" s="37"/>
      <c r="AB11" s="37"/>
      <c r="AC11" s="37"/>
      <c r="AD11" s="37"/>
      <c r="AE11" s="37"/>
      <c r="AF11" s="37"/>
      <c r="AG11" s="37"/>
      <c r="AH11" s="37"/>
      <c r="AI11" s="37"/>
      <c r="AJ11" s="37"/>
      <c r="AK11" s="37"/>
    </row>
    <row r="12" spans="1:37">
      <c r="A12" s="37"/>
      <c r="B12" s="46"/>
      <c r="C12" s="45"/>
      <c r="D12" s="45"/>
      <c r="E12" s="45"/>
      <c r="F12" s="45"/>
      <c r="G12" s="45"/>
      <c r="H12" s="45"/>
      <c r="I12" s="45"/>
      <c r="J12" s="45"/>
      <c r="K12" s="45"/>
      <c r="L12" s="45"/>
      <c r="M12" s="45"/>
      <c r="N12" s="45"/>
      <c r="O12" s="45"/>
      <c r="P12" s="45"/>
      <c r="Q12" s="45"/>
      <c r="R12" s="45"/>
      <c r="S12" s="45"/>
      <c r="T12" s="44"/>
      <c r="U12" s="37"/>
      <c r="V12" s="38"/>
      <c r="W12" s="38"/>
      <c r="X12" s="37"/>
      <c r="Y12" s="37"/>
      <c r="Z12" s="37"/>
      <c r="AA12" s="37"/>
      <c r="AB12" s="37"/>
      <c r="AC12" s="37"/>
      <c r="AD12" s="37"/>
      <c r="AE12" s="37"/>
      <c r="AF12" s="37"/>
      <c r="AG12" s="37"/>
      <c r="AH12" s="37"/>
      <c r="AI12" s="37"/>
      <c r="AJ12" s="37"/>
      <c r="AK12" s="37"/>
    </row>
    <row r="13" spans="1:37">
      <c r="A13" s="37"/>
      <c r="B13" s="46"/>
      <c r="C13" s="45" t="s">
        <v>76</v>
      </c>
      <c r="D13" s="45"/>
      <c r="E13" s="45"/>
      <c r="F13" s="45"/>
      <c r="G13" s="45"/>
      <c r="H13" s="45"/>
      <c r="I13" s="45"/>
      <c r="J13" s="45"/>
      <c r="K13" s="45"/>
      <c r="L13" s="45"/>
      <c r="M13" s="45"/>
      <c r="N13" s="45"/>
      <c r="O13" s="45"/>
      <c r="P13" s="45"/>
      <c r="Q13" s="45"/>
      <c r="R13" s="45"/>
      <c r="S13" s="45"/>
      <c r="T13" s="44"/>
      <c r="U13" s="37"/>
      <c r="V13" s="38"/>
      <c r="W13" s="38"/>
      <c r="X13" s="37"/>
      <c r="Y13" s="37"/>
      <c r="Z13" s="37"/>
      <c r="AA13" s="37"/>
      <c r="AB13" s="37"/>
      <c r="AC13" s="37"/>
      <c r="AD13" s="37"/>
      <c r="AE13" s="37"/>
      <c r="AF13" s="37"/>
      <c r="AG13" s="37"/>
      <c r="AH13" s="37"/>
      <c r="AI13" s="37"/>
      <c r="AJ13" s="37"/>
      <c r="AK13" s="37"/>
    </row>
    <row r="14" spans="1:37">
      <c r="A14" s="37"/>
      <c r="B14" s="46"/>
      <c r="C14" s="45"/>
      <c r="D14" s="45" t="s">
        <v>75</v>
      </c>
      <c r="E14" s="45"/>
      <c r="F14" s="45"/>
      <c r="G14" s="45"/>
      <c r="H14" s="45"/>
      <c r="I14" s="45"/>
      <c r="J14" s="45"/>
      <c r="K14" s="64" t="s">
        <v>66</v>
      </c>
      <c r="L14" s="57">
        <v>16</v>
      </c>
      <c r="M14" s="45" t="s">
        <v>73</v>
      </c>
      <c r="N14" s="45"/>
      <c r="O14" s="45"/>
      <c r="P14" s="45"/>
      <c r="Q14" s="45"/>
      <c r="R14" s="45"/>
      <c r="S14" s="45"/>
      <c r="T14" s="44"/>
      <c r="U14" s="37"/>
      <c r="V14" s="47"/>
      <c r="W14" s="38"/>
      <c r="X14" s="37"/>
      <c r="Y14" s="37"/>
      <c r="Z14" s="37"/>
      <c r="AA14" s="37"/>
      <c r="AB14" s="37"/>
      <c r="AC14" s="37"/>
      <c r="AD14" s="37"/>
      <c r="AE14" s="37"/>
      <c r="AF14" s="37"/>
      <c r="AG14" s="37"/>
      <c r="AH14" s="37"/>
      <c r="AI14" s="37"/>
      <c r="AJ14" s="37"/>
      <c r="AK14" s="37"/>
    </row>
    <row r="15" spans="1:37">
      <c r="A15" s="37"/>
      <c r="B15" s="46"/>
      <c r="C15" s="45"/>
      <c r="D15" s="45" t="s">
        <v>74</v>
      </c>
      <c r="E15" s="45"/>
      <c r="F15" s="45"/>
      <c r="G15" s="45"/>
      <c r="H15" s="45"/>
      <c r="I15" s="45"/>
      <c r="J15" s="45"/>
      <c r="K15" s="64" t="s">
        <v>66</v>
      </c>
      <c r="L15" s="56">
        <v>40</v>
      </c>
      <c r="M15" s="45" t="s">
        <v>73</v>
      </c>
      <c r="N15" s="45"/>
      <c r="O15" s="45"/>
      <c r="P15" s="45"/>
      <c r="Q15" s="45"/>
      <c r="R15" s="45"/>
      <c r="S15" s="45"/>
      <c r="T15" s="44"/>
      <c r="U15" s="37"/>
      <c r="V15" s="47"/>
      <c r="W15" s="38"/>
      <c r="X15" s="37"/>
      <c r="Y15" s="37"/>
      <c r="Z15" s="37"/>
      <c r="AA15" s="37"/>
      <c r="AB15" s="37"/>
      <c r="AC15" s="37"/>
      <c r="AD15" s="37"/>
      <c r="AE15" s="37"/>
      <c r="AF15" s="37"/>
      <c r="AG15" s="37"/>
      <c r="AH15" s="37"/>
      <c r="AI15" s="37"/>
      <c r="AJ15" s="37"/>
      <c r="AK15" s="37"/>
    </row>
    <row r="16" spans="1:37">
      <c r="A16" s="37"/>
      <c r="B16" s="46"/>
      <c r="C16" s="45"/>
      <c r="D16" s="45" t="s">
        <v>71</v>
      </c>
      <c r="E16" s="45"/>
      <c r="F16" s="45"/>
      <c r="G16" s="45"/>
      <c r="H16" s="45"/>
      <c r="I16" s="45"/>
      <c r="J16" s="45"/>
      <c r="K16" s="64" t="s">
        <v>66</v>
      </c>
      <c r="L16" s="56">
        <v>350</v>
      </c>
      <c r="M16" s="45" t="s">
        <v>68</v>
      </c>
      <c r="N16" s="45"/>
      <c r="O16" s="45"/>
      <c r="P16" s="45"/>
      <c r="Q16" s="45"/>
      <c r="R16" s="45"/>
      <c r="S16" s="45"/>
      <c r="T16" s="44"/>
      <c r="U16" s="37"/>
      <c r="V16" s="47"/>
      <c r="W16" s="38"/>
      <c r="X16" s="37"/>
      <c r="Y16" s="37"/>
      <c r="Z16" s="37"/>
      <c r="AA16" s="37"/>
      <c r="AB16" s="37"/>
      <c r="AC16" s="37"/>
      <c r="AD16" s="37"/>
      <c r="AE16" s="37"/>
      <c r="AF16" s="37"/>
      <c r="AG16" s="37"/>
      <c r="AH16" s="37"/>
      <c r="AI16" s="37"/>
      <c r="AJ16" s="37"/>
      <c r="AK16" s="37"/>
    </row>
    <row r="17" spans="1:37">
      <c r="A17" s="37"/>
      <c r="B17" s="46"/>
      <c r="C17" s="45" t="s">
        <v>67</v>
      </c>
      <c r="D17" s="45"/>
      <c r="E17" s="45"/>
      <c r="F17" s="45"/>
      <c r="G17" s="45"/>
      <c r="H17" s="45"/>
      <c r="I17" s="45"/>
      <c r="J17" s="45"/>
      <c r="K17" s="64" t="s">
        <v>66</v>
      </c>
      <c r="L17" s="56">
        <v>50</v>
      </c>
      <c r="M17" s="45" t="s">
        <v>65</v>
      </c>
      <c r="N17" s="45"/>
      <c r="O17" s="45"/>
      <c r="P17" s="45"/>
      <c r="Q17" s="45"/>
      <c r="R17" s="45"/>
      <c r="S17" s="45"/>
      <c r="T17" s="44"/>
      <c r="U17" s="37"/>
      <c r="V17" s="47"/>
      <c r="W17" s="38"/>
      <c r="X17" s="37"/>
      <c r="Y17" s="37"/>
      <c r="Z17" s="37"/>
      <c r="AA17" s="37"/>
      <c r="AB17" s="37"/>
      <c r="AC17" s="37"/>
      <c r="AD17" s="37"/>
      <c r="AE17" s="37"/>
      <c r="AF17" s="37"/>
      <c r="AG17" s="37"/>
      <c r="AH17" s="37"/>
      <c r="AI17" s="37"/>
      <c r="AJ17" s="37"/>
      <c r="AK17" s="37"/>
    </row>
    <row r="18" spans="1:37">
      <c r="A18" s="37"/>
      <c r="B18" s="46"/>
      <c r="C18" s="45"/>
      <c r="D18" s="45"/>
      <c r="E18" s="45"/>
      <c r="F18" s="45"/>
      <c r="G18" s="45"/>
      <c r="H18" s="45"/>
      <c r="I18" s="45"/>
      <c r="J18" s="45"/>
      <c r="K18" s="45"/>
      <c r="L18" s="56"/>
      <c r="M18" s="45"/>
      <c r="N18" s="45"/>
      <c r="O18" s="45"/>
      <c r="P18" s="45"/>
      <c r="Q18" s="45"/>
      <c r="R18" s="45"/>
      <c r="S18" s="45"/>
      <c r="T18" s="44"/>
      <c r="U18" s="37"/>
      <c r="V18" s="38"/>
      <c r="W18" s="38"/>
      <c r="X18" s="37"/>
      <c r="Y18" s="37"/>
      <c r="Z18" s="37"/>
      <c r="AA18" s="37"/>
      <c r="AB18" s="37"/>
      <c r="AC18" s="37"/>
      <c r="AD18" s="37"/>
      <c r="AE18" s="37"/>
      <c r="AF18" s="37"/>
      <c r="AG18" s="37"/>
      <c r="AH18" s="37"/>
      <c r="AI18" s="37"/>
      <c r="AJ18" s="37"/>
      <c r="AK18" s="37"/>
    </row>
    <row r="19" spans="1:37" ht="14.25">
      <c r="A19" s="37"/>
      <c r="B19" s="46"/>
      <c r="C19" s="55" t="s">
        <v>64</v>
      </c>
      <c r="D19" s="45"/>
      <c r="E19" s="45"/>
      <c r="F19" s="45"/>
      <c r="G19" s="45"/>
      <c r="H19" s="45"/>
      <c r="I19" s="55" t="s">
        <v>72</v>
      </c>
      <c r="J19" s="45"/>
      <c r="K19" s="45"/>
      <c r="L19" s="56"/>
      <c r="M19" s="55"/>
      <c r="N19" s="55" t="s">
        <v>71</v>
      </c>
      <c r="O19" s="45"/>
      <c r="P19" s="45"/>
      <c r="Q19" s="45"/>
      <c r="R19" s="61"/>
      <c r="S19" s="61"/>
      <c r="T19" s="60"/>
      <c r="U19" s="37"/>
      <c r="V19" s="38"/>
      <c r="W19" s="38"/>
      <c r="X19" s="37"/>
      <c r="Y19" s="37"/>
      <c r="Z19" s="37"/>
      <c r="AA19" s="37"/>
      <c r="AB19" s="37"/>
      <c r="AC19" s="37"/>
      <c r="AD19" s="37"/>
      <c r="AE19" s="37"/>
      <c r="AF19" s="37"/>
      <c r="AG19" s="37"/>
      <c r="AH19" s="37"/>
      <c r="AI19" s="37"/>
      <c r="AJ19" s="37"/>
      <c r="AK19" s="37"/>
    </row>
    <row r="20" spans="1:37" ht="14.25">
      <c r="A20" s="37"/>
      <c r="B20" s="46"/>
      <c r="C20" s="45" t="s">
        <v>24</v>
      </c>
      <c r="D20" s="45"/>
      <c r="E20" s="53">
        <v>300</v>
      </c>
      <c r="F20" s="54">
        <v>1</v>
      </c>
      <c r="G20" s="45" t="s">
        <v>22</v>
      </c>
      <c r="H20" s="45"/>
      <c r="I20" s="45" t="s">
        <v>61</v>
      </c>
      <c r="J20" s="63">
        <f>A.1!$I$27</f>
        <v>5.656166760717122</v>
      </c>
      <c r="K20" s="49" t="s">
        <v>60</v>
      </c>
      <c r="L20" s="45"/>
      <c r="M20" s="45" t="s">
        <v>61</v>
      </c>
      <c r="N20" s="62">
        <f>A.1!I12</f>
        <v>1.3180000000000001</v>
      </c>
      <c r="O20" s="45" t="s">
        <v>60</v>
      </c>
      <c r="P20" s="61"/>
      <c r="Q20" s="45"/>
      <c r="R20" s="61"/>
      <c r="S20" s="61"/>
      <c r="T20" s="60"/>
      <c r="U20" s="37"/>
      <c r="V20" s="52" t="str">
        <f>IF(A.1!$K$27&gt;0,"(I,",IF(A.1!$K$27&lt;0,"(R,","(-,"))</f>
        <v>(I,</v>
      </c>
      <c r="W20" s="59" t="str">
        <f>IF(A.2!$K$12&gt;0,"I)",IF(A.2!$K$12&lt;0,"R)","-)"))</f>
        <v>-)</v>
      </c>
      <c r="X20" s="37"/>
      <c r="Y20" s="37"/>
      <c r="Z20" s="37"/>
      <c r="AA20" s="37"/>
      <c r="AB20" s="37"/>
      <c r="AC20" s="37"/>
      <c r="AD20" s="37"/>
      <c r="AE20" s="37"/>
      <c r="AF20" s="37"/>
      <c r="AG20" s="37"/>
      <c r="AH20" s="37"/>
      <c r="AI20" s="37"/>
      <c r="AJ20" s="37"/>
      <c r="AK20" s="37"/>
    </row>
    <row r="21" spans="1:37" ht="14.25">
      <c r="A21" s="37"/>
      <c r="B21" s="46"/>
      <c r="C21" s="45" t="s">
        <v>36</v>
      </c>
      <c r="D21" s="45"/>
      <c r="E21" s="53">
        <v>14700</v>
      </c>
      <c r="F21" s="54">
        <v>1</v>
      </c>
      <c r="G21" s="45" t="s">
        <v>22</v>
      </c>
      <c r="H21" s="45"/>
      <c r="I21" s="45" t="s">
        <v>61</v>
      </c>
      <c r="J21" s="63">
        <f>A.1!$I$28</f>
        <v>5.2181667607171223</v>
      </c>
      <c r="K21" s="49" t="s">
        <v>60</v>
      </c>
      <c r="L21" s="45"/>
      <c r="M21" s="45" t="s">
        <v>61</v>
      </c>
      <c r="N21" s="62">
        <f>A.1!I13</f>
        <v>0.88</v>
      </c>
      <c r="O21" s="45" t="s">
        <v>60</v>
      </c>
      <c r="P21" s="61"/>
      <c r="Q21" s="45"/>
      <c r="R21" s="61"/>
      <c r="S21" s="61"/>
      <c r="T21" s="60"/>
      <c r="U21" s="37"/>
      <c r="V21" s="52" t="str">
        <f>IF(A.1!$K$28&gt;0,"(I,",IF(A.1!$K$28&lt;0,"(R,","(-,"))</f>
        <v>(I,</v>
      </c>
      <c r="W21" s="59" t="str">
        <f>IF(A.2!$K$13&gt;0,"I)",IF(A.2!$K$13&lt;0,"R)","-)"))</f>
        <v>-)</v>
      </c>
      <c r="X21" s="37"/>
      <c r="Y21" s="37"/>
      <c r="Z21" s="37"/>
      <c r="AA21" s="37"/>
      <c r="AB21" s="37"/>
      <c r="AC21" s="37"/>
      <c r="AD21" s="37"/>
      <c r="AE21" s="37"/>
      <c r="AF21" s="37"/>
      <c r="AG21" s="37"/>
      <c r="AH21" s="37"/>
      <c r="AI21" s="37"/>
      <c r="AJ21" s="37"/>
      <c r="AK21" s="37"/>
    </row>
    <row r="22" spans="1:37">
      <c r="A22" s="37"/>
      <c r="B22" s="46"/>
      <c r="C22" s="45" t="s">
        <v>23</v>
      </c>
      <c r="D22" s="45"/>
      <c r="E22" s="53">
        <v>15000</v>
      </c>
      <c r="F22" s="45"/>
      <c r="G22" s="45" t="s">
        <v>22</v>
      </c>
      <c r="H22" s="45"/>
      <c r="I22" s="45" t="s">
        <v>61</v>
      </c>
      <c r="J22" s="63">
        <f>A.1!$I$29</f>
        <v>4.9581667607171225</v>
      </c>
      <c r="K22" s="49" t="s">
        <v>60</v>
      </c>
      <c r="L22" s="45"/>
      <c r="M22" s="45" t="s">
        <v>61</v>
      </c>
      <c r="N22" s="62">
        <f>A.1!I14</f>
        <v>0.62</v>
      </c>
      <c r="O22" s="45" t="s">
        <v>60</v>
      </c>
      <c r="P22" s="61"/>
      <c r="Q22" s="45"/>
      <c r="R22" s="61"/>
      <c r="S22" s="61"/>
      <c r="T22" s="60"/>
      <c r="U22" s="37"/>
      <c r="V22" s="52" t="str">
        <f>IF(A.1!$K$29&gt;0,"(I,",IF(A.1!$K$29&lt;0,"(R,","(-,"))</f>
        <v>(I,</v>
      </c>
      <c r="W22" s="59" t="str">
        <f>IF(A.2!$K$14&gt;0,"I)",IF(A.2!$K$14&lt;0,"R)","-)"))</f>
        <v>-)</v>
      </c>
      <c r="X22" s="37"/>
      <c r="Y22" s="37"/>
      <c r="Z22" s="37"/>
      <c r="AA22" s="37"/>
      <c r="AB22" s="37"/>
      <c r="AC22" s="37"/>
      <c r="AD22" s="37"/>
      <c r="AE22" s="37"/>
      <c r="AF22" s="37"/>
      <c r="AG22" s="37"/>
      <c r="AH22" s="37"/>
      <c r="AI22" s="37"/>
      <c r="AJ22" s="37"/>
      <c r="AK22" s="37"/>
    </row>
    <row r="23" spans="1:37">
      <c r="A23" s="37"/>
      <c r="B23" s="46"/>
      <c r="C23" s="45"/>
      <c r="D23" s="45"/>
      <c r="E23" s="53"/>
      <c r="F23" s="45"/>
      <c r="G23" s="45"/>
      <c r="H23" s="45"/>
      <c r="I23" s="45"/>
      <c r="J23" s="63"/>
      <c r="K23" s="49"/>
      <c r="L23" s="45"/>
      <c r="M23" s="45"/>
      <c r="N23" s="62"/>
      <c r="O23" s="49"/>
      <c r="P23" s="45"/>
      <c r="Q23" s="45"/>
      <c r="R23" s="62"/>
      <c r="S23" s="45"/>
      <c r="T23" s="44"/>
      <c r="U23" s="37"/>
      <c r="V23" s="38"/>
      <c r="W23" s="38"/>
      <c r="X23" s="37"/>
      <c r="Y23" s="37"/>
      <c r="Z23" s="37"/>
      <c r="AA23" s="37"/>
      <c r="AB23" s="37"/>
      <c r="AC23" s="37"/>
      <c r="AD23" s="37"/>
      <c r="AE23" s="37"/>
      <c r="AF23" s="37"/>
      <c r="AG23" s="37"/>
      <c r="AH23" s="37"/>
      <c r="AI23" s="37"/>
      <c r="AJ23" s="37"/>
      <c r="AK23" s="37"/>
    </row>
    <row r="24" spans="1:37">
      <c r="A24" s="37"/>
      <c r="B24" s="46"/>
      <c r="C24" s="45"/>
      <c r="D24" s="45"/>
      <c r="E24" s="53"/>
      <c r="F24" s="45"/>
      <c r="G24" s="45"/>
      <c r="H24" s="45"/>
      <c r="I24" s="45"/>
      <c r="J24" s="63"/>
      <c r="K24" s="49"/>
      <c r="L24" s="45"/>
      <c r="M24" s="45"/>
      <c r="N24" s="62"/>
      <c r="O24" s="49"/>
      <c r="P24" s="45"/>
      <c r="Q24" s="45"/>
      <c r="R24" s="62"/>
      <c r="S24" s="45"/>
      <c r="T24" s="44"/>
      <c r="U24" s="37"/>
      <c r="V24" s="38"/>
      <c r="W24" s="38"/>
      <c r="X24" s="37"/>
      <c r="Y24" s="37"/>
      <c r="Z24" s="37"/>
      <c r="AA24" s="37"/>
      <c r="AB24" s="37"/>
      <c r="AC24" s="37"/>
      <c r="AD24" s="37"/>
      <c r="AE24" s="37"/>
      <c r="AF24" s="37"/>
      <c r="AG24" s="37"/>
      <c r="AH24" s="37"/>
      <c r="AI24" s="37"/>
      <c r="AJ24" s="37"/>
      <c r="AK24" s="37"/>
    </row>
    <row r="25" spans="1:37">
      <c r="A25" s="37"/>
      <c r="B25" s="46"/>
      <c r="C25" s="45"/>
      <c r="D25" s="45"/>
      <c r="E25" s="53"/>
      <c r="F25" s="45"/>
      <c r="G25" s="45"/>
      <c r="H25" s="45"/>
      <c r="I25" s="45"/>
      <c r="J25" s="63"/>
      <c r="K25" s="49"/>
      <c r="L25" s="45"/>
      <c r="M25" s="45"/>
      <c r="N25" s="62"/>
      <c r="O25" s="49"/>
      <c r="P25" s="45"/>
      <c r="Q25" s="45"/>
      <c r="R25" s="62"/>
      <c r="S25" s="45"/>
      <c r="T25" s="44"/>
      <c r="U25" s="37"/>
      <c r="V25" s="38"/>
      <c r="W25" s="38"/>
      <c r="X25" s="37"/>
      <c r="Y25" s="37"/>
      <c r="Z25" s="37"/>
      <c r="AA25" s="37"/>
      <c r="AB25" s="37"/>
      <c r="AC25" s="37"/>
      <c r="AD25" s="37"/>
      <c r="AE25" s="37"/>
      <c r="AF25" s="37"/>
      <c r="AG25" s="37"/>
      <c r="AH25" s="37"/>
      <c r="AI25" s="37"/>
      <c r="AJ25" s="37"/>
      <c r="AK25" s="37"/>
    </row>
    <row r="26" spans="1:37">
      <c r="A26" s="37"/>
      <c r="B26" s="46"/>
      <c r="C26" s="55"/>
      <c r="D26" s="45"/>
      <c r="E26" s="53"/>
      <c r="F26" s="45"/>
      <c r="G26" s="45"/>
      <c r="H26" s="45"/>
      <c r="I26" s="45"/>
      <c r="J26" s="63"/>
      <c r="K26" s="49"/>
      <c r="L26" s="45"/>
      <c r="M26" s="45"/>
      <c r="N26" s="62"/>
      <c r="O26" s="49"/>
      <c r="P26" s="45"/>
      <c r="Q26" s="45"/>
      <c r="R26" s="62"/>
      <c r="S26" s="45"/>
      <c r="T26" s="44"/>
      <c r="U26" s="37"/>
      <c r="V26" s="52"/>
      <c r="W26" s="38"/>
      <c r="X26" s="37"/>
      <c r="Y26" s="37"/>
      <c r="Z26" s="37"/>
      <c r="AA26" s="37"/>
      <c r="AB26" s="37"/>
      <c r="AC26" s="37"/>
      <c r="AD26" s="37"/>
      <c r="AE26" s="37"/>
      <c r="AF26" s="37"/>
      <c r="AG26" s="37"/>
      <c r="AH26" s="37"/>
      <c r="AI26" s="37"/>
      <c r="AJ26" s="37"/>
      <c r="AK26" s="37"/>
    </row>
    <row r="27" spans="1:37">
      <c r="A27" s="37"/>
      <c r="B27" s="46"/>
      <c r="C27" s="55"/>
      <c r="D27" s="45"/>
      <c r="E27" s="53"/>
      <c r="F27" s="45"/>
      <c r="G27" s="45"/>
      <c r="H27" s="45"/>
      <c r="I27" s="45"/>
      <c r="J27" s="63"/>
      <c r="K27" s="49"/>
      <c r="L27" s="45"/>
      <c r="M27" s="45"/>
      <c r="N27" s="62"/>
      <c r="O27" s="49"/>
      <c r="P27" s="45"/>
      <c r="Q27" s="45"/>
      <c r="R27" s="62"/>
      <c r="S27" s="45"/>
      <c r="T27" s="44"/>
      <c r="U27" s="37"/>
      <c r="V27" s="38"/>
      <c r="W27" s="38"/>
      <c r="X27" s="37"/>
      <c r="Y27" s="37"/>
      <c r="Z27" s="37"/>
      <c r="AA27" s="37"/>
      <c r="AB27" s="37"/>
      <c r="AC27" s="37"/>
      <c r="AD27" s="37"/>
      <c r="AE27" s="37"/>
      <c r="AF27" s="37"/>
      <c r="AG27" s="37"/>
      <c r="AH27" s="37"/>
      <c r="AI27" s="37"/>
      <c r="AJ27" s="37"/>
      <c r="AK27" s="37"/>
    </row>
    <row r="28" spans="1:37">
      <c r="A28" s="37"/>
      <c r="B28" s="46"/>
      <c r="C28" s="55" t="s">
        <v>70</v>
      </c>
      <c r="D28" s="45"/>
      <c r="E28" s="45"/>
      <c r="F28" s="45"/>
      <c r="G28" s="45"/>
      <c r="H28" s="45"/>
      <c r="I28" s="45"/>
      <c r="J28" s="45"/>
      <c r="K28" s="45"/>
      <c r="L28" s="45"/>
      <c r="M28" s="45"/>
      <c r="N28" s="58"/>
      <c r="O28" s="45"/>
      <c r="P28" s="45"/>
      <c r="Q28" s="45"/>
      <c r="R28" s="45"/>
      <c r="S28" s="45"/>
      <c r="T28" s="44"/>
      <c r="U28" s="37"/>
      <c r="V28" s="38"/>
      <c r="W28" s="38"/>
      <c r="X28" s="37"/>
      <c r="Y28" s="37"/>
      <c r="Z28" s="37"/>
      <c r="AA28" s="37"/>
      <c r="AB28" s="37"/>
      <c r="AC28" s="37"/>
      <c r="AD28" s="37"/>
      <c r="AE28" s="37"/>
      <c r="AF28" s="37"/>
      <c r="AG28" s="37"/>
      <c r="AH28" s="37"/>
      <c r="AI28" s="37"/>
      <c r="AJ28" s="37"/>
      <c r="AK28" s="37"/>
    </row>
    <row r="29" spans="1:37" ht="7.5" customHeight="1">
      <c r="A29" s="37"/>
      <c r="B29" s="46"/>
      <c r="C29" s="45"/>
      <c r="D29" s="45"/>
      <c r="E29" s="45"/>
      <c r="F29" s="45"/>
      <c r="G29" s="45"/>
      <c r="H29" s="45"/>
      <c r="I29" s="45"/>
      <c r="J29" s="45"/>
      <c r="K29" s="45"/>
      <c r="L29" s="45"/>
      <c r="M29" s="45"/>
      <c r="N29" s="45"/>
      <c r="O29" s="45"/>
      <c r="P29" s="45"/>
      <c r="Q29" s="45"/>
      <c r="R29" s="45"/>
      <c r="S29" s="45"/>
      <c r="T29" s="44"/>
      <c r="U29" s="37"/>
      <c r="V29" s="38"/>
      <c r="W29" s="38"/>
      <c r="X29" s="37"/>
      <c r="Y29" s="37"/>
      <c r="Z29" s="37"/>
      <c r="AA29" s="37"/>
      <c r="AB29" s="37"/>
      <c r="AC29" s="37"/>
      <c r="AD29" s="37"/>
      <c r="AE29" s="37"/>
      <c r="AF29" s="37"/>
      <c r="AG29" s="37"/>
      <c r="AH29" s="37"/>
      <c r="AI29" s="37"/>
      <c r="AJ29" s="37"/>
      <c r="AK29" s="37"/>
    </row>
    <row r="30" spans="1:37">
      <c r="A30" s="37"/>
      <c r="B30" s="46"/>
      <c r="C30" s="45" t="s">
        <v>69</v>
      </c>
      <c r="D30" s="45"/>
      <c r="E30" s="45"/>
      <c r="F30" s="45"/>
      <c r="G30" s="45"/>
      <c r="H30" s="45"/>
      <c r="I30" s="45"/>
      <c r="J30" s="45"/>
      <c r="K30" s="45" t="s">
        <v>66</v>
      </c>
      <c r="L30" s="57">
        <v>350</v>
      </c>
      <c r="M30" s="45" t="s">
        <v>68</v>
      </c>
      <c r="N30" s="45"/>
      <c r="O30" s="45"/>
      <c r="P30" s="45"/>
      <c r="Q30" s="45"/>
      <c r="R30" s="45"/>
      <c r="S30" s="45"/>
      <c r="T30" s="44"/>
      <c r="U30" s="37"/>
      <c r="V30" s="47"/>
      <c r="W30" s="38"/>
      <c r="X30" s="37"/>
      <c r="Y30" s="37"/>
      <c r="Z30" s="37"/>
      <c r="AA30" s="37"/>
      <c r="AB30" s="37"/>
      <c r="AC30" s="37"/>
      <c r="AD30" s="37"/>
      <c r="AE30" s="37"/>
      <c r="AF30" s="37"/>
      <c r="AG30" s="37"/>
      <c r="AH30" s="37"/>
      <c r="AI30" s="37"/>
      <c r="AJ30" s="37"/>
      <c r="AK30" s="37"/>
    </row>
    <row r="31" spans="1:37">
      <c r="A31" s="37"/>
      <c r="B31" s="46"/>
      <c r="C31" s="45" t="s">
        <v>67</v>
      </c>
      <c r="D31" s="45"/>
      <c r="E31" s="45"/>
      <c r="F31" s="45"/>
      <c r="G31" s="45"/>
      <c r="H31" s="45"/>
      <c r="I31" s="45"/>
      <c r="J31" s="45"/>
      <c r="K31" s="45" t="s">
        <v>66</v>
      </c>
      <c r="L31" s="56">
        <v>50</v>
      </c>
      <c r="M31" s="45" t="s">
        <v>65</v>
      </c>
      <c r="N31" s="45"/>
      <c r="O31" s="45"/>
      <c r="P31" s="45"/>
      <c r="Q31" s="45"/>
      <c r="R31" s="45"/>
      <c r="S31" s="45"/>
      <c r="T31" s="44"/>
      <c r="U31" s="37"/>
      <c r="V31" s="47"/>
      <c r="W31" s="38"/>
      <c r="X31" s="37"/>
      <c r="Y31" s="37"/>
      <c r="Z31" s="37"/>
      <c r="AA31" s="37"/>
      <c r="AB31" s="37"/>
      <c r="AC31" s="37"/>
      <c r="AD31" s="37"/>
      <c r="AE31" s="37"/>
      <c r="AF31" s="37"/>
      <c r="AG31" s="37"/>
      <c r="AH31" s="37"/>
      <c r="AI31" s="37"/>
      <c r="AJ31" s="37"/>
      <c r="AK31" s="37"/>
    </row>
    <row r="32" spans="1:37">
      <c r="A32" s="37"/>
      <c r="B32" s="46"/>
      <c r="C32" s="45"/>
      <c r="D32" s="45"/>
      <c r="E32" s="45"/>
      <c r="F32" s="45"/>
      <c r="G32" s="45"/>
      <c r="H32" s="45"/>
      <c r="I32" s="45"/>
      <c r="J32" s="45"/>
      <c r="K32" s="45"/>
      <c r="L32" s="56"/>
      <c r="M32" s="45"/>
      <c r="N32" s="45"/>
      <c r="O32" s="45"/>
      <c r="P32" s="45"/>
      <c r="Q32" s="45"/>
      <c r="R32" s="45"/>
      <c r="S32" s="45"/>
      <c r="T32" s="44"/>
      <c r="U32" s="37"/>
      <c r="V32" s="38"/>
      <c r="W32" s="38"/>
      <c r="X32" s="37"/>
      <c r="Y32" s="37"/>
      <c r="Z32" s="37"/>
      <c r="AA32" s="37"/>
      <c r="AB32" s="37"/>
      <c r="AC32" s="37"/>
      <c r="AD32" s="37"/>
      <c r="AE32" s="37"/>
      <c r="AF32" s="37"/>
      <c r="AG32" s="37"/>
      <c r="AH32" s="37"/>
      <c r="AI32" s="37"/>
      <c r="AJ32" s="37"/>
      <c r="AK32" s="37"/>
    </row>
    <row r="33" spans="1:37">
      <c r="A33" s="37"/>
      <c r="B33" s="46"/>
      <c r="C33" s="45"/>
      <c r="D33" s="45"/>
      <c r="E33" s="45"/>
      <c r="F33" s="45"/>
      <c r="G33" s="45"/>
      <c r="H33" s="45"/>
      <c r="I33" s="45"/>
      <c r="J33" s="45"/>
      <c r="K33" s="45"/>
      <c r="L33" s="45"/>
      <c r="M33" s="45"/>
      <c r="N33" s="45"/>
      <c r="O33" s="45"/>
      <c r="P33" s="45"/>
      <c r="Q33" s="45"/>
      <c r="R33" s="45"/>
      <c r="S33" s="45"/>
      <c r="T33" s="44"/>
      <c r="U33" s="37"/>
      <c r="V33" s="38"/>
      <c r="W33" s="38"/>
      <c r="X33" s="37"/>
      <c r="Y33" s="37"/>
      <c r="Z33" s="37"/>
      <c r="AA33" s="37"/>
      <c r="AB33" s="37"/>
      <c r="AC33" s="37"/>
      <c r="AD33" s="37"/>
      <c r="AE33" s="37"/>
      <c r="AF33" s="37"/>
      <c r="AG33" s="37"/>
      <c r="AH33" s="37"/>
      <c r="AI33" s="37"/>
      <c r="AJ33" s="37"/>
      <c r="AK33" s="37"/>
    </row>
    <row r="34" spans="1:37" ht="14.25">
      <c r="A34" s="37"/>
      <c r="B34" s="46"/>
      <c r="C34" s="55" t="s">
        <v>64</v>
      </c>
      <c r="D34" s="45"/>
      <c r="E34" s="45"/>
      <c r="F34" s="45"/>
      <c r="G34" s="45"/>
      <c r="H34" s="45"/>
      <c r="I34" s="55" t="s">
        <v>63</v>
      </c>
      <c r="J34" s="45"/>
      <c r="K34" s="45"/>
      <c r="L34" s="56"/>
      <c r="M34" s="55" t="s">
        <v>62</v>
      </c>
      <c r="N34" s="45"/>
      <c r="O34" s="45"/>
      <c r="P34" s="45"/>
      <c r="Q34" s="61"/>
      <c r="R34" s="61"/>
      <c r="S34" s="61"/>
      <c r="T34" s="60"/>
      <c r="U34" s="37"/>
      <c r="V34" s="38"/>
      <c r="W34" s="38"/>
      <c r="X34" s="37"/>
      <c r="Y34" s="37"/>
      <c r="Z34" s="37"/>
      <c r="AA34" s="37"/>
      <c r="AB34" s="37"/>
      <c r="AC34" s="37"/>
      <c r="AD34" s="37"/>
      <c r="AE34" s="37"/>
      <c r="AF34" s="37"/>
      <c r="AG34" s="37"/>
      <c r="AH34" s="37"/>
      <c r="AI34" s="37"/>
      <c r="AJ34" s="37"/>
      <c r="AK34" s="37"/>
    </row>
    <row r="35" spans="1:37" ht="14.25">
      <c r="A35" s="37"/>
      <c r="B35" s="46"/>
      <c r="C35" s="45" t="s">
        <v>24</v>
      </c>
      <c r="D35" s="45"/>
      <c r="E35" s="53">
        <v>15000</v>
      </c>
      <c r="F35" s="54">
        <v>1</v>
      </c>
      <c r="G35" s="45" t="s">
        <v>22</v>
      </c>
      <c r="H35" s="45"/>
      <c r="I35" s="45" t="s">
        <v>61</v>
      </c>
      <c r="J35" s="51">
        <f>A.1!I49</f>
        <v>3.8072667607171224</v>
      </c>
      <c r="K35" s="49" t="s">
        <v>60</v>
      </c>
      <c r="L35" s="45"/>
      <c r="M35" s="45" t="s">
        <v>61</v>
      </c>
      <c r="N35" s="51">
        <f>A.1!I35</f>
        <v>0.79</v>
      </c>
      <c r="O35" s="49" t="s">
        <v>60</v>
      </c>
      <c r="P35" s="45"/>
      <c r="Q35" s="61"/>
      <c r="R35" s="61"/>
      <c r="S35" s="61"/>
      <c r="T35" s="60"/>
      <c r="U35" s="37"/>
      <c r="V35" s="52" t="str">
        <f>IF(A.1!$K$49&gt;0,"(I,",IF(A.1!$K$49&lt;0,"(R,","(-,"))</f>
        <v>(I,</v>
      </c>
      <c r="W35" s="59" t="str">
        <f>IF(A.2!$K$20&gt;0,"I)",IF(A.2!$K$20&lt;0,"R)","-)"))</f>
        <v>-)</v>
      </c>
      <c r="X35" s="37"/>
      <c r="Y35" s="37"/>
      <c r="Z35" s="37"/>
      <c r="AA35" s="37"/>
      <c r="AB35" s="37"/>
      <c r="AC35" s="37"/>
      <c r="AD35" s="37"/>
      <c r="AE35" s="37"/>
      <c r="AF35" s="37"/>
      <c r="AG35" s="37"/>
      <c r="AH35" s="37"/>
      <c r="AI35" s="37"/>
      <c r="AJ35" s="37"/>
      <c r="AK35" s="37"/>
    </row>
    <row r="36" spans="1:37">
      <c r="A36" s="37"/>
      <c r="B36" s="46"/>
      <c r="C36" s="45" t="s">
        <v>23</v>
      </c>
      <c r="D36" s="45"/>
      <c r="E36" s="53">
        <v>15000</v>
      </c>
      <c r="F36" s="45"/>
      <c r="G36" s="45" t="s">
        <v>22</v>
      </c>
      <c r="H36" s="45"/>
      <c r="I36" s="45" t="s">
        <v>61</v>
      </c>
      <c r="J36" s="51">
        <f>A.1!I50</f>
        <v>3.5472667607171227</v>
      </c>
      <c r="K36" s="49" t="s">
        <v>60</v>
      </c>
      <c r="L36" s="45"/>
      <c r="M36" s="45" t="s">
        <v>61</v>
      </c>
      <c r="N36" s="51">
        <f>A.1!I36</f>
        <v>0.53</v>
      </c>
      <c r="O36" s="49" t="s">
        <v>60</v>
      </c>
      <c r="P36" s="45"/>
      <c r="Q36" s="61"/>
      <c r="R36" s="61"/>
      <c r="S36" s="61"/>
      <c r="T36" s="60"/>
      <c r="U36" s="37"/>
      <c r="V36" s="52" t="str">
        <f>IF(A.1!$K$50&gt;0,"(I,",IF(A.1!$K$50&lt;0,"(R,","(-,"))</f>
        <v>(I,</v>
      </c>
      <c r="W36" s="59" t="str">
        <f>IF(A.2!$K$21&gt;0,"I)",IF(A.2!$K$21&lt;0,"R)","-)"))</f>
        <v>-)</v>
      </c>
      <c r="X36" s="37"/>
      <c r="Y36" s="37"/>
      <c r="Z36" s="37"/>
      <c r="AA36" s="37"/>
      <c r="AB36" s="37"/>
      <c r="AC36" s="37"/>
      <c r="AD36" s="37"/>
      <c r="AE36" s="37"/>
      <c r="AF36" s="37"/>
      <c r="AG36" s="37"/>
      <c r="AH36" s="37"/>
      <c r="AI36" s="37"/>
      <c r="AJ36" s="37"/>
      <c r="AK36" s="37"/>
    </row>
    <row r="37" spans="1:37">
      <c r="A37" s="37"/>
      <c r="B37" s="46"/>
      <c r="C37" s="55"/>
      <c r="D37" s="45"/>
      <c r="E37" s="45"/>
      <c r="F37" s="45"/>
      <c r="G37" s="45"/>
      <c r="H37" s="45"/>
      <c r="I37" s="45"/>
      <c r="J37" s="45"/>
      <c r="K37" s="45"/>
      <c r="L37" s="45"/>
      <c r="M37" s="45"/>
      <c r="N37" s="58"/>
      <c r="O37" s="45"/>
      <c r="P37" s="45"/>
      <c r="Q37" s="45"/>
      <c r="R37" s="45"/>
      <c r="S37" s="45"/>
      <c r="T37" s="44"/>
      <c r="U37" s="37"/>
      <c r="V37" s="38"/>
      <c r="W37" s="38"/>
      <c r="X37" s="37"/>
      <c r="Y37" s="37"/>
      <c r="Z37" s="37"/>
      <c r="AA37" s="37"/>
      <c r="AB37" s="37"/>
      <c r="AC37" s="37"/>
      <c r="AD37" s="37"/>
      <c r="AE37" s="37"/>
      <c r="AF37" s="37"/>
      <c r="AG37" s="37"/>
      <c r="AH37" s="37"/>
      <c r="AI37" s="37"/>
      <c r="AJ37" s="37"/>
      <c r="AK37" s="37"/>
    </row>
    <row r="38" spans="1:37">
      <c r="A38" s="37"/>
      <c r="B38" s="81"/>
      <c r="C38" s="61"/>
      <c r="D38" s="61"/>
      <c r="E38" s="61"/>
      <c r="F38" s="61"/>
      <c r="G38" s="61"/>
      <c r="H38" s="61"/>
      <c r="I38" s="61"/>
      <c r="J38" s="61"/>
      <c r="K38" s="61"/>
      <c r="L38" s="61"/>
      <c r="M38" s="61"/>
      <c r="N38" s="61"/>
      <c r="O38" s="61"/>
      <c r="P38" s="61"/>
      <c r="Q38" s="61"/>
      <c r="R38" s="61"/>
      <c r="S38" s="61"/>
      <c r="T38" s="44"/>
      <c r="U38" s="37"/>
      <c r="X38" s="37"/>
      <c r="Y38" s="37"/>
      <c r="Z38" s="37"/>
      <c r="AA38" s="37"/>
      <c r="AB38" s="37"/>
      <c r="AC38" s="37"/>
      <c r="AD38" s="37"/>
      <c r="AE38" s="37"/>
      <c r="AF38" s="37"/>
      <c r="AG38" s="37"/>
      <c r="AH38" s="37"/>
      <c r="AI38" s="37"/>
      <c r="AJ38" s="37"/>
      <c r="AK38" s="37"/>
    </row>
    <row r="39" spans="1:37">
      <c r="A39" s="37"/>
      <c r="B39" s="81"/>
      <c r="C39" s="61"/>
      <c r="D39" s="61"/>
      <c r="E39" s="61"/>
      <c r="F39" s="61"/>
      <c r="G39" s="61"/>
      <c r="H39" s="61"/>
      <c r="I39" s="61"/>
      <c r="J39" s="61"/>
      <c r="K39" s="61"/>
      <c r="L39" s="61"/>
      <c r="M39" s="61"/>
      <c r="N39" s="61"/>
      <c r="O39" s="61"/>
      <c r="P39" s="61"/>
      <c r="Q39" s="61"/>
      <c r="R39" s="61"/>
      <c r="S39" s="61"/>
      <c r="T39" s="44"/>
      <c r="U39" s="37"/>
      <c r="X39" s="37"/>
      <c r="Y39" s="37"/>
      <c r="Z39" s="37"/>
      <c r="AA39" s="37"/>
      <c r="AB39" s="37"/>
      <c r="AC39" s="37"/>
      <c r="AD39" s="37"/>
      <c r="AE39" s="37"/>
      <c r="AF39" s="37"/>
      <c r="AG39" s="37"/>
      <c r="AH39" s="37"/>
      <c r="AI39" s="37"/>
      <c r="AJ39" s="37"/>
      <c r="AK39" s="37"/>
    </row>
    <row r="40" spans="1:37">
      <c r="A40" s="37"/>
      <c r="B40" s="46"/>
      <c r="C40" s="45"/>
      <c r="D40" s="45"/>
      <c r="E40" s="45"/>
      <c r="F40" s="45"/>
      <c r="G40" s="45"/>
      <c r="H40" s="45"/>
      <c r="I40" s="45"/>
      <c r="J40" s="45"/>
      <c r="K40" s="45"/>
      <c r="L40" s="45"/>
      <c r="M40" s="45"/>
      <c r="N40" s="45"/>
      <c r="O40" s="45"/>
      <c r="P40" s="45"/>
      <c r="Q40" s="45"/>
      <c r="R40" s="45"/>
      <c r="S40" s="45"/>
      <c r="T40" s="44"/>
      <c r="U40" s="37"/>
      <c r="V40" s="38"/>
      <c r="W40" s="38"/>
      <c r="X40" s="37"/>
      <c r="Y40" s="37"/>
      <c r="Z40" s="37"/>
      <c r="AA40" s="37"/>
      <c r="AB40" s="37"/>
      <c r="AC40" s="37"/>
      <c r="AD40" s="37"/>
      <c r="AE40" s="37"/>
      <c r="AF40" s="37"/>
      <c r="AG40" s="37"/>
      <c r="AH40" s="37"/>
      <c r="AI40" s="37"/>
      <c r="AJ40" s="37"/>
      <c r="AK40" s="37"/>
    </row>
    <row r="41" spans="1:37">
      <c r="A41" s="37"/>
      <c r="B41" s="46"/>
      <c r="C41" s="45"/>
      <c r="D41" s="45"/>
      <c r="E41" s="45"/>
      <c r="F41" s="45"/>
      <c r="G41" s="45"/>
      <c r="H41" s="45"/>
      <c r="I41" s="45"/>
      <c r="J41" s="45"/>
      <c r="K41" s="45"/>
      <c r="L41" s="56"/>
      <c r="M41" s="45"/>
      <c r="N41" s="45"/>
      <c r="O41" s="45"/>
      <c r="P41" s="45"/>
      <c r="Q41" s="45"/>
      <c r="R41" s="45"/>
      <c r="S41" s="45"/>
      <c r="T41" s="44"/>
      <c r="U41" s="37"/>
      <c r="V41" s="38"/>
      <c r="W41" s="38"/>
      <c r="X41" s="37"/>
      <c r="Y41" s="37"/>
      <c r="Z41" s="37"/>
      <c r="AA41" s="37"/>
      <c r="AB41" s="37"/>
      <c r="AC41" s="37"/>
      <c r="AD41" s="37"/>
      <c r="AE41" s="37"/>
      <c r="AF41" s="37"/>
      <c r="AG41" s="37"/>
      <c r="AH41" s="37"/>
      <c r="AI41" s="37"/>
      <c r="AJ41" s="37"/>
      <c r="AK41" s="37"/>
    </row>
    <row r="42" spans="1:37">
      <c r="A42" s="37"/>
      <c r="B42" s="46"/>
      <c r="C42" s="45"/>
      <c r="D42" s="45"/>
      <c r="E42" s="45"/>
      <c r="F42" s="45"/>
      <c r="G42" s="45"/>
      <c r="H42" s="45"/>
      <c r="I42" s="45"/>
      <c r="J42" s="45"/>
      <c r="K42" s="45"/>
      <c r="L42" s="56"/>
      <c r="M42" s="45"/>
      <c r="N42" s="45"/>
      <c r="O42" s="45"/>
      <c r="P42" s="45"/>
      <c r="Q42" s="45"/>
      <c r="R42" s="45"/>
      <c r="S42" s="45"/>
      <c r="T42" s="44"/>
      <c r="U42" s="37"/>
      <c r="V42" s="38"/>
      <c r="W42" s="38"/>
      <c r="X42" s="37"/>
      <c r="Y42" s="37"/>
      <c r="Z42" s="37"/>
      <c r="AA42" s="37"/>
      <c r="AB42" s="37"/>
      <c r="AC42" s="37"/>
      <c r="AD42" s="37"/>
      <c r="AE42" s="37"/>
      <c r="AF42" s="37"/>
      <c r="AG42" s="37"/>
      <c r="AH42" s="37"/>
      <c r="AI42" s="37"/>
      <c r="AJ42" s="37"/>
      <c r="AK42" s="37"/>
    </row>
    <row r="43" spans="1:37">
      <c r="A43" s="37"/>
      <c r="B43" s="46"/>
      <c r="C43" s="45"/>
      <c r="D43" s="45"/>
      <c r="E43" s="45"/>
      <c r="F43" s="45"/>
      <c r="G43" s="45"/>
      <c r="H43" s="45"/>
      <c r="I43" s="45"/>
      <c r="J43" s="45"/>
      <c r="K43" s="45"/>
      <c r="L43" s="56"/>
      <c r="M43" s="45"/>
      <c r="N43" s="45"/>
      <c r="O43" s="45"/>
      <c r="P43" s="45"/>
      <c r="Q43" s="45"/>
      <c r="R43" s="45"/>
      <c r="S43" s="45"/>
      <c r="T43" s="44"/>
      <c r="U43" s="37"/>
      <c r="V43" s="38"/>
      <c r="W43" s="38"/>
      <c r="X43" s="37"/>
      <c r="Y43" s="37"/>
      <c r="Z43" s="37"/>
      <c r="AA43" s="37"/>
      <c r="AB43" s="37"/>
      <c r="AC43" s="37"/>
      <c r="AD43" s="37"/>
      <c r="AE43" s="37"/>
      <c r="AF43" s="37"/>
      <c r="AG43" s="37"/>
      <c r="AH43" s="37"/>
      <c r="AI43" s="37"/>
      <c r="AJ43" s="37"/>
      <c r="AK43" s="37"/>
    </row>
    <row r="44" spans="1:37">
      <c r="A44" s="37"/>
      <c r="B44" s="46"/>
      <c r="C44" s="55"/>
      <c r="D44" s="45"/>
      <c r="E44" s="45"/>
      <c r="F44" s="45"/>
      <c r="G44" s="45"/>
      <c r="H44" s="45"/>
      <c r="I44" s="55"/>
      <c r="J44" s="45"/>
      <c r="K44" s="45"/>
      <c r="L44" s="56"/>
      <c r="M44" s="55"/>
      <c r="N44" s="45"/>
      <c r="O44" s="45"/>
      <c r="P44" s="51"/>
      <c r="Q44" s="55"/>
      <c r="R44" s="45"/>
      <c r="S44" s="45"/>
      <c r="T44" s="44"/>
      <c r="U44" s="37"/>
      <c r="V44" s="38"/>
      <c r="W44" s="38"/>
      <c r="X44" s="37"/>
      <c r="Y44" s="37"/>
      <c r="Z44" s="37"/>
      <c r="AA44" s="37"/>
      <c r="AB44" s="37"/>
      <c r="AC44" s="37"/>
      <c r="AD44" s="37"/>
      <c r="AE44" s="37"/>
      <c r="AF44" s="37"/>
      <c r="AG44" s="37"/>
      <c r="AH44" s="37"/>
      <c r="AI44" s="37"/>
      <c r="AJ44" s="37"/>
      <c r="AK44" s="37"/>
    </row>
    <row r="45" spans="1:37">
      <c r="A45" s="37"/>
      <c r="B45" s="46"/>
      <c r="C45" s="45"/>
      <c r="D45" s="45"/>
      <c r="E45" s="53"/>
      <c r="F45" s="45"/>
      <c r="G45" s="45"/>
      <c r="H45" s="45"/>
      <c r="I45" s="45"/>
      <c r="J45" s="51"/>
      <c r="K45" s="49"/>
      <c r="L45" s="45"/>
      <c r="M45" s="45"/>
      <c r="N45" s="51"/>
      <c r="O45" s="49"/>
      <c r="P45" s="45"/>
      <c r="Q45" s="45"/>
      <c r="R45" s="51"/>
      <c r="S45" s="49"/>
      <c r="T45" s="44"/>
      <c r="U45" s="37"/>
      <c r="V45" s="52"/>
      <c r="W45" s="52"/>
      <c r="X45" s="37"/>
      <c r="Y45" s="37"/>
      <c r="Z45" s="37"/>
      <c r="AA45" s="37"/>
      <c r="AB45" s="37"/>
      <c r="AC45" s="37"/>
      <c r="AD45" s="37"/>
      <c r="AE45" s="37"/>
      <c r="AF45" s="37"/>
      <c r="AG45" s="37"/>
      <c r="AH45" s="37"/>
      <c r="AI45" s="37"/>
      <c r="AJ45" s="37"/>
      <c r="AK45" s="37"/>
    </row>
    <row r="46" spans="1:37" ht="14.25">
      <c r="A46" s="37"/>
      <c r="B46" s="46"/>
      <c r="C46" s="48">
        <v>1</v>
      </c>
      <c r="D46" s="45" t="s">
        <v>59</v>
      </c>
      <c r="E46" s="45"/>
      <c r="F46" s="45"/>
      <c r="G46" s="45"/>
      <c r="H46" s="45"/>
      <c r="I46" s="45"/>
      <c r="J46" s="45"/>
      <c r="K46" s="45"/>
      <c r="L46" s="45"/>
      <c r="M46" s="45"/>
      <c r="N46" s="45"/>
      <c r="O46" s="45"/>
      <c r="P46" s="45"/>
      <c r="Q46" s="45"/>
      <c r="R46" s="45"/>
      <c r="S46" s="49"/>
      <c r="T46" s="44"/>
      <c r="U46" s="37"/>
      <c r="V46" s="52"/>
      <c r="W46" s="52"/>
      <c r="X46" s="37"/>
      <c r="Y46" s="37"/>
      <c r="Z46" s="37"/>
      <c r="AA46" s="37"/>
      <c r="AB46" s="37"/>
      <c r="AC46" s="37"/>
      <c r="AD46" s="37"/>
      <c r="AE46" s="37"/>
      <c r="AF46" s="37"/>
      <c r="AG46" s="37"/>
      <c r="AH46" s="37"/>
      <c r="AI46" s="37"/>
      <c r="AJ46" s="37"/>
      <c r="AK46" s="37"/>
    </row>
    <row r="47" spans="1:37">
      <c r="A47" s="37"/>
      <c r="B47" s="46"/>
      <c r="C47" s="50"/>
      <c r="D47" s="49" t="s">
        <v>58</v>
      </c>
      <c r="E47" s="45"/>
      <c r="F47" s="45"/>
      <c r="G47" s="45"/>
      <c r="H47" s="45"/>
      <c r="I47" s="45"/>
      <c r="J47" s="45"/>
      <c r="K47" s="45"/>
      <c r="L47" s="45"/>
      <c r="M47" s="45"/>
      <c r="N47" s="45"/>
      <c r="O47" s="45"/>
      <c r="P47" s="45"/>
      <c r="Q47" s="45"/>
      <c r="R47" s="45"/>
      <c r="S47" s="49"/>
      <c r="T47" s="44"/>
      <c r="U47" s="37"/>
      <c r="V47" s="52"/>
      <c r="W47" s="52"/>
      <c r="X47" s="37"/>
      <c r="Y47" s="37"/>
      <c r="Z47" s="37"/>
      <c r="AA47" s="37"/>
      <c r="AB47" s="37"/>
      <c r="AC47" s="37"/>
      <c r="AD47" s="37"/>
      <c r="AE47" s="37"/>
      <c r="AF47" s="37"/>
      <c r="AG47" s="37"/>
      <c r="AH47" s="37"/>
      <c r="AI47" s="37"/>
      <c r="AJ47" s="37"/>
      <c r="AK47" s="37"/>
    </row>
    <row r="48" spans="1:37">
      <c r="A48" s="37"/>
      <c r="B48" s="46"/>
      <c r="C48" s="50"/>
      <c r="D48" s="49" t="s">
        <v>57</v>
      </c>
      <c r="E48" s="45"/>
      <c r="F48" s="45"/>
      <c r="G48" s="45"/>
      <c r="H48" s="45"/>
      <c r="I48" s="45"/>
      <c r="J48" s="45"/>
      <c r="K48" s="45"/>
      <c r="L48" s="45"/>
      <c r="M48" s="45"/>
      <c r="N48" s="45"/>
      <c r="O48" s="45"/>
      <c r="P48" s="45"/>
      <c r="Q48" s="45"/>
      <c r="R48" s="45"/>
      <c r="S48" s="49"/>
      <c r="T48" s="44"/>
      <c r="U48" s="37"/>
      <c r="V48" s="52"/>
      <c r="W48" s="52"/>
      <c r="X48" s="37"/>
      <c r="Y48" s="37"/>
      <c r="Z48" s="37"/>
      <c r="AA48" s="37"/>
      <c r="AB48" s="37"/>
      <c r="AC48" s="37"/>
      <c r="AD48" s="37"/>
      <c r="AE48" s="37"/>
      <c r="AF48" s="37"/>
      <c r="AG48" s="37"/>
      <c r="AH48" s="37"/>
      <c r="AI48" s="37"/>
      <c r="AJ48" s="37"/>
      <c r="AK48" s="37"/>
    </row>
    <row r="49" spans="1:37" ht="14.25">
      <c r="A49" s="37"/>
      <c r="B49" s="46"/>
      <c r="C49" s="48" t="s">
        <v>56</v>
      </c>
      <c r="D49" s="45" t="s">
        <v>1042</v>
      </c>
      <c r="E49" s="45"/>
      <c r="F49" s="45"/>
      <c r="G49" s="45"/>
      <c r="H49" s="45"/>
      <c r="I49" s="45"/>
      <c r="J49" s="45"/>
      <c r="K49" s="45"/>
      <c r="L49" s="45"/>
      <c r="M49" s="45"/>
      <c r="N49" s="45"/>
      <c r="O49" s="45"/>
      <c r="P49" s="45"/>
      <c r="Q49" s="45"/>
      <c r="R49" s="45"/>
      <c r="S49" s="49"/>
      <c r="T49" s="44"/>
      <c r="U49" s="37"/>
      <c r="V49" s="52"/>
      <c r="W49" s="52"/>
      <c r="X49" s="37"/>
      <c r="Y49" s="37"/>
      <c r="Z49" s="37"/>
      <c r="AA49" s="37"/>
      <c r="AB49" s="37"/>
      <c r="AC49" s="37"/>
      <c r="AD49" s="37"/>
      <c r="AE49" s="37"/>
      <c r="AF49" s="37"/>
      <c r="AG49" s="37"/>
      <c r="AH49" s="37"/>
      <c r="AI49" s="37"/>
      <c r="AJ49" s="37"/>
      <c r="AK49" s="37"/>
    </row>
    <row r="50" spans="1:37">
      <c r="A50" s="37"/>
      <c r="B50" s="43"/>
      <c r="C50" s="42"/>
      <c r="D50" s="42"/>
      <c r="E50" s="42"/>
      <c r="F50" s="42"/>
      <c r="G50" s="42"/>
      <c r="H50" s="42"/>
      <c r="I50" s="42"/>
      <c r="J50" s="42"/>
      <c r="K50" s="42"/>
      <c r="L50" s="42"/>
      <c r="M50" s="42"/>
      <c r="N50" s="42"/>
      <c r="O50" s="42"/>
      <c r="P50" s="42"/>
      <c r="Q50" s="42"/>
      <c r="R50" s="42"/>
      <c r="S50" s="42"/>
      <c r="T50" s="41"/>
      <c r="U50" s="37"/>
      <c r="V50" s="38"/>
      <c r="W50" s="38"/>
      <c r="X50" s="37"/>
      <c r="Y50" s="37"/>
      <c r="Z50" s="37"/>
      <c r="AA50" s="37"/>
      <c r="AB50" s="37"/>
      <c r="AC50" s="37"/>
      <c r="AD50" s="37"/>
      <c r="AE50" s="37"/>
      <c r="AF50" s="37"/>
      <c r="AG50" s="37"/>
      <c r="AH50" s="37"/>
      <c r="AI50" s="37"/>
      <c r="AJ50" s="37"/>
      <c r="AK50" s="37"/>
    </row>
    <row r="51" spans="1:37" ht="9" customHeight="1" thickBot="1">
      <c r="A51" s="45"/>
      <c r="B51" s="682"/>
      <c r="C51" s="682"/>
      <c r="D51" s="682"/>
      <c r="E51" s="682"/>
      <c r="F51" s="682"/>
      <c r="G51" s="682"/>
      <c r="H51" s="682"/>
      <c r="I51" s="682"/>
      <c r="J51" s="682"/>
      <c r="K51" s="682"/>
      <c r="L51" s="682"/>
      <c r="M51" s="682"/>
      <c r="N51" s="682"/>
      <c r="O51" s="682"/>
      <c r="P51" s="682"/>
      <c r="Q51" s="682"/>
      <c r="R51" s="682"/>
      <c r="S51" s="682"/>
      <c r="T51" s="682"/>
      <c r="U51" s="680"/>
      <c r="V51" s="683"/>
      <c r="W51" s="668"/>
      <c r="X51" s="37"/>
      <c r="Y51" s="37"/>
      <c r="Z51" s="37"/>
      <c r="AA51" s="37"/>
      <c r="AB51" s="37"/>
      <c r="AC51" s="37"/>
      <c r="AD51" s="37"/>
      <c r="AE51" s="37"/>
      <c r="AF51" s="37"/>
      <c r="AG51" s="37"/>
      <c r="AH51" s="37"/>
      <c r="AI51" s="37"/>
      <c r="AJ51" s="37"/>
      <c r="AK51" s="37"/>
    </row>
    <row r="52" spans="1:37" ht="9" customHeight="1">
      <c r="A52" s="45"/>
      <c r="B52" s="45"/>
      <c r="C52" s="45"/>
      <c r="D52" s="45"/>
      <c r="E52" s="45"/>
      <c r="F52" s="45"/>
      <c r="G52" s="45"/>
      <c r="H52" s="45"/>
      <c r="I52" s="45"/>
      <c r="J52" s="45"/>
      <c r="K52" s="45"/>
      <c r="L52" s="45"/>
      <c r="M52" s="45"/>
      <c r="N52" s="45"/>
      <c r="O52" s="45"/>
      <c r="P52" s="45"/>
      <c r="Q52" s="45"/>
      <c r="R52" s="45"/>
      <c r="S52" s="45"/>
      <c r="T52" s="45"/>
      <c r="U52" s="45"/>
      <c r="V52" s="668"/>
      <c r="W52" s="668"/>
      <c r="X52" s="37"/>
      <c r="Y52" s="37"/>
      <c r="Z52" s="37"/>
      <c r="AA52" s="37"/>
      <c r="AB52" s="37"/>
      <c r="AC52" s="37"/>
      <c r="AD52" s="37"/>
      <c r="AE52" s="37"/>
      <c r="AF52" s="37"/>
      <c r="AG52" s="37"/>
      <c r="AH52" s="37"/>
      <c r="AI52" s="37"/>
      <c r="AJ52" s="37"/>
      <c r="AK52" s="37"/>
    </row>
    <row r="53" spans="1:37" s="661" customFormat="1" ht="24" customHeight="1">
      <c r="A53" s="660"/>
      <c r="B53" s="684" t="s">
        <v>791</v>
      </c>
      <c r="C53" s="684"/>
      <c r="D53" s="684"/>
      <c r="E53" s="667"/>
      <c r="F53" s="1100">
        <f>Control!B5</f>
        <v>42277</v>
      </c>
      <c r="G53" s="1100"/>
      <c r="H53" s="1100"/>
      <c r="I53" s="1100"/>
      <c r="J53" s="1100"/>
      <c r="K53" s="1100"/>
      <c r="L53" s="1100"/>
      <c r="M53" s="702"/>
      <c r="N53" s="660"/>
      <c r="O53" s="660"/>
      <c r="P53" s="660"/>
      <c r="Q53" s="660"/>
      <c r="R53" s="660"/>
      <c r="S53" s="660"/>
      <c r="T53" s="660"/>
      <c r="U53" s="660"/>
      <c r="V53" s="669"/>
      <c r="W53" s="669"/>
      <c r="X53" s="659"/>
      <c r="Y53" s="659"/>
      <c r="Z53" s="659"/>
      <c r="AA53" s="659"/>
      <c r="AB53" s="659"/>
      <c r="AC53" s="659"/>
      <c r="AD53" s="659"/>
      <c r="AE53" s="659"/>
      <c r="AF53" s="659"/>
      <c r="AG53" s="659"/>
      <c r="AH53" s="659"/>
      <c r="AI53" s="659"/>
      <c r="AJ53" s="659"/>
      <c r="AK53" s="659"/>
    </row>
    <row r="54" spans="1:37" s="657" customFormat="1">
      <c r="A54" s="658"/>
      <c r="B54" s="658"/>
      <c r="C54" s="685"/>
      <c r="D54" s="685"/>
      <c r="E54" s="685"/>
      <c r="F54" s="1112" t="s">
        <v>792</v>
      </c>
      <c r="G54" s="1112"/>
      <c r="H54" s="1112"/>
      <c r="I54" s="1112"/>
      <c r="J54" s="1112"/>
      <c r="K54" s="1112"/>
      <c r="L54" s="1112"/>
      <c r="M54" s="699"/>
      <c r="S54" s="658"/>
      <c r="T54" s="658"/>
      <c r="U54" s="658"/>
      <c r="V54" s="670"/>
      <c r="W54" s="670"/>
      <c r="X54" s="656"/>
      <c r="Y54" s="656"/>
      <c r="Z54" s="656"/>
      <c r="AA54" s="656"/>
      <c r="AB54" s="656"/>
      <c r="AC54" s="656"/>
      <c r="AD54" s="656"/>
      <c r="AE54" s="656"/>
      <c r="AF54" s="656"/>
      <c r="AG54" s="656"/>
      <c r="AH54" s="656"/>
      <c r="AI54" s="656"/>
      <c r="AJ54" s="656"/>
      <c r="AK54" s="656"/>
    </row>
    <row r="55" spans="1:37" s="661" customFormat="1" ht="16.5" customHeight="1">
      <c r="A55" s="660"/>
      <c r="B55" s="684" t="s">
        <v>793</v>
      </c>
      <c r="C55" s="684"/>
      <c r="D55" s="684"/>
      <c r="E55" s="667"/>
      <c r="F55" s="1100">
        <f>Control!B4</f>
        <v>42309</v>
      </c>
      <c r="G55" s="1100"/>
      <c r="H55" s="1100"/>
      <c r="I55" s="1100"/>
      <c r="J55" s="1100"/>
      <c r="K55" s="1100"/>
      <c r="L55" s="1100"/>
      <c r="M55" s="703"/>
      <c r="S55" s="663"/>
      <c r="T55" s="663"/>
      <c r="U55" s="660"/>
      <c r="V55" s="669"/>
      <c r="W55" s="669"/>
      <c r="X55" s="659"/>
      <c r="Y55" s="659"/>
      <c r="Z55" s="659"/>
      <c r="AA55" s="659"/>
      <c r="AB55" s="659"/>
      <c r="AC55" s="659"/>
      <c r="AD55" s="659"/>
      <c r="AE55" s="659"/>
      <c r="AF55" s="659"/>
      <c r="AG55" s="659"/>
      <c r="AH55" s="659"/>
      <c r="AI55" s="659"/>
      <c r="AJ55" s="659"/>
      <c r="AK55" s="659"/>
    </row>
    <row r="56" spans="1:37" s="657" customFormat="1">
      <c r="A56" s="658"/>
      <c r="B56" s="658"/>
      <c r="C56" s="685"/>
      <c r="D56" s="685"/>
      <c r="E56" s="685"/>
      <c r="F56" s="1112" t="s">
        <v>792</v>
      </c>
      <c r="G56" s="1112"/>
      <c r="H56" s="1112"/>
      <c r="I56" s="1112"/>
      <c r="J56" s="1112"/>
      <c r="K56" s="1112"/>
      <c r="L56" s="1112"/>
      <c r="M56" s="699"/>
      <c r="O56" s="657" t="s">
        <v>1043</v>
      </c>
      <c r="S56" s="658"/>
      <c r="T56" s="658"/>
      <c r="U56" s="658"/>
      <c r="V56" s="670"/>
      <c r="W56" s="670"/>
      <c r="X56" s="656"/>
      <c r="Y56" s="656"/>
      <c r="Z56" s="656"/>
      <c r="AA56" s="656"/>
      <c r="AB56" s="656"/>
      <c r="AC56" s="656"/>
      <c r="AD56" s="656"/>
      <c r="AE56" s="656"/>
      <c r="AF56" s="656"/>
      <c r="AG56" s="656"/>
      <c r="AH56" s="656"/>
      <c r="AI56" s="656"/>
      <c r="AJ56" s="656"/>
      <c r="AK56" s="656"/>
    </row>
    <row r="57" spans="1:37" s="661" customFormat="1" ht="16.5" customHeight="1">
      <c r="A57" s="660"/>
      <c r="B57" s="684" t="s">
        <v>794</v>
      </c>
      <c r="C57" s="684"/>
      <c r="D57" s="667"/>
      <c r="E57" s="667"/>
      <c r="F57" s="1104" t="s">
        <v>795</v>
      </c>
      <c r="G57" s="1104"/>
      <c r="H57" s="1104"/>
      <c r="I57" s="1104"/>
      <c r="J57" s="1104"/>
      <c r="K57" s="1104"/>
      <c r="L57" s="1104"/>
      <c r="M57" s="684"/>
      <c r="S57" s="660"/>
      <c r="T57" s="660"/>
      <c r="U57" s="660"/>
      <c r="V57" s="671"/>
      <c r="W57" s="669"/>
      <c r="X57" s="659"/>
      <c r="Y57" s="659"/>
      <c r="Z57" s="659"/>
      <c r="AA57" s="659"/>
      <c r="AB57" s="659"/>
      <c r="AC57" s="659"/>
      <c r="AD57" s="659"/>
      <c r="AE57" s="659"/>
      <c r="AF57" s="659"/>
      <c r="AG57" s="659"/>
      <c r="AH57" s="659"/>
      <c r="AI57" s="659"/>
      <c r="AJ57" s="659"/>
      <c r="AK57" s="659"/>
    </row>
    <row r="58" spans="1:37" s="657" customFormat="1">
      <c r="A58" s="658"/>
      <c r="B58" s="658"/>
      <c r="C58" s="658"/>
      <c r="D58" s="658"/>
      <c r="E58" s="672"/>
      <c r="F58" s="1112" t="s">
        <v>796</v>
      </c>
      <c r="G58" s="1112"/>
      <c r="H58" s="1112"/>
      <c r="I58" s="1112"/>
      <c r="J58" s="1112"/>
      <c r="K58" s="1112"/>
      <c r="L58" s="1112"/>
      <c r="M58" s="699"/>
      <c r="N58" s="658"/>
      <c r="O58" s="658"/>
      <c r="P58" s="658"/>
      <c r="Q58" s="658"/>
      <c r="R58" s="658"/>
      <c r="S58" s="658"/>
      <c r="T58" s="658"/>
      <c r="U58" s="658"/>
      <c r="V58" s="670"/>
      <c r="W58" s="670"/>
      <c r="X58" s="656"/>
      <c r="Y58" s="656"/>
      <c r="Z58" s="656"/>
      <c r="AA58" s="656"/>
      <c r="AB58" s="656"/>
      <c r="AC58" s="656"/>
      <c r="AD58" s="656"/>
      <c r="AE58" s="656"/>
      <c r="AF58" s="656"/>
      <c r="AG58" s="656"/>
      <c r="AH58" s="656"/>
      <c r="AI58" s="656"/>
      <c r="AJ58" s="656"/>
      <c r="AK58" s="656"/>
    </row>
    <row r="59" spans="1:37" s="661" customFormat="1" ht="16.5" customHeight="1">
      <c r="A59" s="660"/>
      <c r="B59" s="684" t="s">
        <v>797</v>
      </c>
      <c r="C59" s="684"/>
      <c r="D59" s="667" t="s">
        <v>798</v>
      </c>
      <c r="E59" s="667"/>
      <c r="F59" s="667"/>
      <c r="G59" s="667"/>
      <c r="H59" s="667"/>
      <c r="I59" s="667"/>
      <c r="J59" s="667"/>
      <c r="K59" s="667"/>
      <c r="L59" s="667"/>
      <c r="M59" s="684"/>
      <c r="N59" s="660"/>
      <c r="O59" s="660"/>
      <c r="P59" s="660"/>
      <c r="Q59" s="660"/>
      <c r="R59" s="660"/>
      <c r="S59" s="660"/>
      <c r="T59" s="660"/>
      <c r="U59" s="660"/>
      <c r="V59" s="669"/>
      <c r="W59" s="669"/>
      <c r="X59" s="659"/>
      <c r="Y59" s="659"/>
      <c r="Z59" s="659"/>
      <c r="AA59" s="659"/>
      <c r="AB59" s="659"/>
      <c r="AC59" s="659"/>
      <c r="AD59" s="659"/>
      <c r="AE59" s="659"/>
      <c r="AF59" s="659"/>
      <c r="AG59" s="659"/>
      <c r="AH59" s="659"/>
      <c r="AI59" s="659"/>
      <c r="AJ59" s="659"/>
      <c r="AK59" s="659"/>
    </row>
    <row r="60" spans="1:37" ht="6" customHeight="1">
      <c r="A60" s="45"/>
      <c r="B60" s="61"/>
      <c r="C60" s="61"/>
      <c r="D60" s="61"/>
      <c r="E60" s="61"/>
      <c r="F60" s="61"/>
      <c r="G60" s="61"/>
      <c r="H60" s="61"/>
      <c r="I60" s="61"/>
      <c r="J60" s="61"/>
      <c r="K60" s="61"/>
      <c r="L60" s="61"/>
      <c r="M60" s="61"/>
      <c r="U60" s="37"/>
      <c r="V60" s="38"/>
      <c r="W60" s="38"/>
      <c r="X60" s="37"/>
      <c r="Y60" s="37"/>
      <c r="Z60" s="37"/>
      <c r="AA60" s="37"/>
      <c r="AB60" s="37"/>
      <c r="AC60" s="37"/>
      <c r="AD60" s="37"/>
      <c r="AE60" s="37"/>
      <c r="AF60" s="37"/>
      <c r="AG60" s="37"/>
      <c r="AH60" s="37"/>
      <c r="AI60" s="37"/>
      <c r="AJ60" s="37"/>
      <c r="AK60" s="37"/>
    </row>
    <row r="61" spans="1:37" s="661" customFormat="1" ht="17.25" customHeight="1">
      <c r="A61" s="660"/>
      <c r="B61" s="1101" t="s">
        <v>800</v>
      </c>
      <c r="C61" s="1101"/>
      <c r="D61" s="1101"/>
      <c r="E61" s="1101"/>
      <c r="F61" s="1101"/>
      <c r="G61" s="1101"/>
      <c r="H61" s="1101"/>
      <c r="I61" s="1101"/>
      <c r="J61" s="1101"/>
      <c r="K61" s="1101"/>
      <c r="L61" s="1101"/>
      <c r="M61" s="1101"/>
      <c r="N61" s="659"/>
      <c r="O61" s="659"/>
      <c r="P61" s="659"/>
      <c r="Q61" s="659"/>
      <c r="R61" s="659"/>
      <c r="S61" s="659"/>
      <c r="T61" s="659"/>
      <c r="U61" s="659"/>
      <c r="V61" s="662"/>
      <c r="W61" s="662"/>
      <c r="X61" s="659"/>
      <c r="Y61" s="659"/>
      <c r="Z61" s="659"/>
      <c r="AA61" s="659"/>
      <c r="AB61" s="659"/>
      <c r="AC61" s="659"/>
      <c r="AD61" s="659"/>
      <c r="AE61" s="659"/>
      <c r="AF61" s="659"/>
      <c r="AG61" s="659"/>
      <c r="AH61" s="659"/>
      <c r="AI61" s="659"/>
      <c r="AJ61" s="659"/>
      <c r="AK61" s="659"/>
    </row>
    <row r="62" spans="1:37" s="661" customFormat="1" ht="13.5" customHeight="1">
      <c r="A62" s="660"/>
      <c r="B62" s="1101" t="s">
        <v>801</v>
      </c>
      <c r="C62" s="1101"/>
      <c r="D62" s="1104" t="str">
        <f>Control!B8</f>
        <v>2015-00000</v>
      </c>
      <c r="E62" s="1104"/>
      <c r="F62" s="1104"/>
      <c r="G62" s="686" t="s">
        <v>802</v>
      </c>
      <c r="H62" s="687"/>
      <c r="I62" s="1111" t="str">
        <f>IF(Control!B6=0,"",Control!B6)</f>
        <v>N/A</v>
      </c>
      <c r="J62" s="1111"/>
      <c r="K62" s="1111"/>
      <c r="L62" s="1111"/>
      <c r="M62" s="705"/>
      <c r="N62" s="659"/>
      <c r="O62" s="664"/>
      <c r="Q62" s="665"/>
      <c r="U62" s="659"/>
      <c r="V62" s="662"/>
      <c r="W62" s="662"/>
      <c r="X62" s="659"/>
      <c r="Y62" s="659"/>
      <c r="Z62" s="659"/>
      <c r="AA62" s="659"/>
      <c r="AB62" s="659"/>
      <c r="AC62" s="659"/>
      <c r="AD62" s="659"/>
      <c r="AE62" s="659"/>
      <c r="AF62" s="659"/>
      <c r="AG62" s="659"/>
      <c r="AH62" s="659"/>
      <c r="AI62" s="659"/>
      <c r="AJ62" s="659"/>
      <c r="AK62" s="659"/>
    </row>
    <row r="63" spans="1:37">
      <c r="A63" s="37"/>
      <c r="B63" s="37"/>
      <c r="C63" s="37"/>
      <c r="D63" s="37"/>
      <c r="E63" s="37"/>
      <c r="F63" s="37"/>
      <c r="G63" s="37"/>
      <c r="H63" s="37"/>
      <c r="I63" s="37"/>
      <c r="J63" s="37"/>
      <c r="K63" s="37"/>
      <c r="L63" s="37"/>
      <c r="M63" s="37"/>
      <c r="N63" s="37"/>
      <c r="O63" s="37"/>
      <c r="P63" s="37"/>
      <c r="Q63" s="37"/>
      <c r="R63" s="37"/>
      <c r="S63" s="37"/>
      <c r="T63" s="37"/>
      <c r="U63" s="37"/>
      <c r="V63" s="38"/>
      <c r="W63" s="38"/>
      <c r="X63" s="37"/>
      <c r="Y63" s="37"/>
      <c r="Z63" s="37"/>
      <c r="AA63" s="37"/>
      <c r="AB63" s="37"/>
      <c r="AC63" s="37"/>
      <c r="AD63" s="37"/>
      <c r="AE63" s="37"/>
      <c r="AF63" s="37"/>
      <c r="AG63" s="37"/>
      <c r="AH63" s="37"/>
      <c r="AI63" s="37"/>
      <c r="AJ63" s="37"/>
      <c r="AK63" s="37"/>
    </row>
    <row r="64" spans="1:37">
      <c r="A64" s="37"/>
      <c r="B64" s="964"/>
      <c r="C64" s="965"/>
      <c r="D64" s="965"/>
      <c r="E64" s="965"/>
      <c r="F64" s="965"/>
      <c r="G64" s="965"/>
      <c r="H64" s="965"/>
      <c r="I64" s="965"/>
      <c r="J64" s="965"/>
      <c r="K64" s="965"/>
      <c r="L64" s="965"/>
      <c r="M64" s="965"/>
      <c r="N64" s="37"/>
      <c r="O64" s="37"/>
      <c r="P64" s="37"/>
      <c r="Q64" s="37"/>
      <c r="R64" s="37"/>
      <c r="S64" s="37"/>
      <c r="T64" s="37"/>
      <c r="U64" s="37"/>
      <c r="V64" s="38"/>
      <c r="W64" s="38"/>
      <c r="X64" s="37"/>
      <c r="Y64" s="37"/>
      <c r="Z64" s="37"/>
      <c r="AA64" s="37"/>
      <c r="AB64" s="37"/>
      <c r="AC64" s="37"/>
      <c r="AD64" s="37"/>
      <c r="AE64" s="37"/>
      <c r="AF64" s="37"/>
      <c r="AG64" s="37"/>
      <c r="AH64" s="37"/>
      <c r="AI64" s="37"/>
      <c r="AJ64" s="37"/>
      <c r="AK64" s="37"/>
    </row>
    <row r="65" spans="1:37" ht="14.25" customHeight="1">
      <c r="A65" s="37"/>
      <c r="B65" s="965"/>
      <c r="C65" s="965"/>
      <c r="D65" s="965"/>
      <c r="E65" s="965"/>
      <c r="F65" s="965"/>
      <c r="G65" s="965"/>
      <c r="H65" s="965"/>
      <c r="I65" s="965"/>
      <c r="J65" s="965"/>
      <c r="K65" s="965"/>
      <c r="L65" s="965"/>
      <c r="M65" s="965"/>
      <c r="N65" s="37"/>
      <c r="O65" s="37"/>
      <c r="P65" s="37"/>
      <c r="Q65" s="37"/>
      <c r="R65" s="37"/>
      <c r="S65" s="37"/>
      <c r="T65" s="37"/>
      <c r="U65" s="37"/>
      <c r="V65" s="38"/>
      <c r="W65" s="38"/>
      <c r="X65" s="37"/>
      <c r="Y65" s="37"/>
      <c r="Z65" s="37"/>
      <c r="AA65" s="37"/>
      <c r="AB65" s="37"/>
      <c r="AC65" s="37"/>
      <c r="AD65" s="37"/>
      <c r="AE65" s="37"/>
      <c r="AF65" s="37"/>
      <c r="AG65" s="37"/>
      <c r="AH65" s="37"/>
      <c r="AI65" s="37"/>
      <c r="AJ65" s="37"/>
      <c r="AK65" s="37"/>
    </row>
    <row r="66" spans="1:37">
      <c r="A66" s="37"/>
      <c r="B66" s="40"/>
      <c r="C66" s="37"/>
      <c r="D66" s="37"/>
      <c r="E66" s="39"/>
      <c r="G66" s="37"/>
      <c r="H66" s="37"/>
      <c r="I66" s="37"/>
      <c r="J66" s="37"/>
      <c r="K66" s="37"/>
      <c r="L66" s="37"/>
      <c r="M66" s="37"/>
      <c r="N66" s="37"/>
      <c r="O66" s="37"/>
      <c r="P66" s="37"/>
      <c r="Q66" s="37"/>
      <c r="R66" s="37"/>
      <c r="S66" s="37"/>
      <c r="T66" s="37"/>
      <c r="U66" s="37"/>
      <c r="V66" s="38"/>
      <c r="W66" s="38"/>
      <c r="X66" s="37"/>
      <c r="Y66" s="37"/>
      <c r="Z66" s="37"/>
      <c r="AA66" s="37"/>
      <c r="AB66" s="37"/>
      <c r="AC66" s="37"/>
      <c r="AD66" s="37"/>
      <c r="AE66" s="37"/>
      <c r="AF66" s="37"/>
      <c r="AG66" s="37"/>
      <c r="AH66" s="37"/>
      <c r="AI66" s="37"/>
      <c r="AJ66" s="37"/>
      <c r="AK66" s="37"/>
    </row>
    <row r="67" spans="1:37">
      <c r="A67" s="37"/>
      <c r="B67" s="37"/>
      <c r="C67" s="37"/>
      <c r="D67" s="37"/>
      <c r="E67" s="37"/>
      <c r="F67" s="37"/>
      <c r="G67" s="37"/>
      <c r="H67" s="37"/>
      <c r="I67" s="37"/>
      <c r="J67" s="37"/>
      <c r="K67" s="37"/>
      <c r="L67" s="37"/>
      <c r="M67" s="37"/>
      <c r="N67" s="37"/>
      <c r="O67" s="37"/>
      <c r="P67" s="37"/>
      <c r="Q67" s="37"/>
      <c r="R67" s="37"/>
      <c r="S67" s="37"/>
      <c r="T67" s="37"/>
      <c r="U67" s="37"/>
      <c r="V67" s="38"/>
      <c r="W67" s="38"/>
      <c r="X67" s="37"/>
      <c r="Y67" s="37"/>
      <c r="Z67" s="37"/>
      <c r="AA67" s="37"/>
      <c r="AB67" s="37"/>
      <c r="AC67" s="37"/>
      <c r="AD67" s="37"/>
      <c r="AE67" s="37"/>
      <c r="AF67" s="37"/>
      <c r="AG67" s="37"/>
      <c r="AH67" s="37"/>
      <c r="AI67" s="37"/>
      <c r="AJ67" s="37"/>
      <c r="AK67" s="37"/>
    </row>
    <row r="73" spans="1:37">
      <c r="F73" s="649"/>
    </row>
    <row r="74" spans="1:37" ht="15">
      <c r="D74" s="650"/>
    </row>
    <row r="75" spans="1:37">
      <c r="D75" s="649"/>
    </row>
    <row r="76" spans="1:37" ht="15">
      <c r="D76" s="650"/>
    </row>
    <row r="78" spans="1:37" ht="15">
      <c r="D78" s="650"/>
    </row>
    <row r="79" spans="1:37" ht="15">
      <c r="D79" s="650"/>
    </row>
    <row r="80" spans="1:37">
      <c r="D80" s="651"/>
    </row>
  </sheetData>
  <mergeCells count="14">
    <mergeCell ref="F55:L55"/>
    <mergeCell ref="B62:C62"/>
    <mergeCell ref="B4:I4"/>
    <mergeCell ref="B5:I5"/>
    <mergeCell ref="D62:F62"/>
    <mergeCell ref="B8:T8"/>
    <mergeCell ref="B9:T9"/>
    <mergeCell ref="B61:M61"/>
    <mergeCell ref="F53:L53"/>
    <mergeCell ref="I62:L62"/>
    <mergeCell ref="F54:L54"/>
    <mergeCell ref="F56:L56"/>
    <mergeCell ref="F58:L58"/>
    <mergeCell ref="F57:L57"/>
  </mergeCells>
  <pageMargins left="0.53" right="0.18" top="0.42" bottom="0.28999999999999998" header="0.21" footer="0.18"/>
  <pageSetup scale="85" orientation="portrait" r:id="rId1"/>
  <headerFooter alignWithMargins="0"/>
  <customProperties>
    <customPr name="_pios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34"/>
  <sheetViews>
    <sheetView topLeftCell="A87" zoomScale="80" zoomScaleNormal="80" zoomScaleSheetLayoutView="40" zoomScalePageLayoutView="70" workbookViewId="0">
      <selection activeCell="B89" sqref="B89"/>
    </sheetView>
  </sheetViews>
  <sheetFormatPr defaultRowHeight="15"/>
  <cols>
    <col min="1" max="1" width="4.28515625" style="636" bestFit="1" customWidth="1"/>
    <col min="2" max="2" width="50.85546875" style="1032" customWidth="1"/>
    <col min="3" max="3" width="1.85546875" style="1003" customWidth="1"/>
    <col min="4" max="4" width="51.42578125" style="1020" customWidth="1"/>
    <col min="5" max="5" width="9.28515625" style="1001" bestFit="1" customWidth="1"/>
    <col min="6" max="6" width="10.7109375" style="1002" bestFit="1" customWidth="1"/>
    <col min="7" max="7" width="3.85546875" customWidth="1"/>
    <col min="9" max="9" width="3.85546875" customWidth="1"/>
    <col min="11" max="11" width="3.85546875" customWidth="1"/>
    <col min="13" max="13" width="3.85546875" customWidth="1"/>
    <col min="15" max="15" width="3.85546875" customWidth="1"/>
    <col min="17" max="17" width="3.85546875" customWidth="1"/>
    <col min="19" max="19" width="3.85546875" customWidth="1"/>
  </cols>
  <sheetData>
    <row r="1" spans="1:6">
      <c r="A1" s="1157" t="s">
        <v>51</v>
      </c>
      <c r="B1" s="1157"/>
      <c r="C1" s="646"/>
    </row>
    <row r="2" spans="1:6">
      <c r="A2" s="1157" t="s">
        <v>789</v>
      </c>
      <c r="B2" s="1157"/>
      <c r="C2" s="646"/>
    </row>
    <row r="3" spans="1:6">
      <c r="A3" s="1157" t="s">
        <v>788</v>
      </c>
      <c r="B3" s="1157"/>
      <c r="C3" s="646"/>
    </row>
    <row r="4" spans="1:6">
      <c r="A4" s="1157" t="s">
        <v>787</v>
      </c>
      <c r="B4" s="1157"/>
      <c r="C4" s="646"/>
    </row>
    <row r="5" spans="1:6" ht="7.5" customHeight="1">
      <c r="A5" s="1157"/>
      <c r="B5" s="1157"/>
      <c r="C5" s="646"/>
    </row>
    <row r="6" spans="1:6" s="634" customFormat="1">
      <c r="A6" s="1158" t="s">
        <v>775</v>
      </c>
      <c r="B6" s="1158"/>
      <c r="C6" s="645"/>
      <c r="D6" s="1021">
        <f>Control!B5</f>
        <v>42277</v>
      </c>
      <c r="E6" s="1001"/>
      <c r="F6" s="1001"/>
    </row>
    <row r="7" spans="1:6" s="634" customFormat="1">
      <c r="A7" s="1158" t="s">
        <v>218</v>
      </c>
      <c r="B7" s="1158"/>
      <c r="C7" s="645"/>
      <c r="D7" s="1021">
        <f>EffectiveDate</f>
        <v>42309</v>
      </c>
      <c r="E7" s="1001"/>
      <c r="F7" s="1001"/>
    </row>
    <row r="8" spans="1:6" s="634" customFormat="1">
      <c r="A8" s="1158" t="s">
        <v>786</v>
      </c>
      <c r="B8" s="1158"/>
      <c r="C8" s="645"/>
      <c r="D8" s="1021">
        <f>Control!C4</f>
        <v>42217</v>
      </c>
      <c r="E8" s="1001"/>
      <c r="F8" s="1001"/>
    </row>
    <row r="9" spans="1:6" ht="7.5" customHeight="1">
      <c r="A9" s="1157"/>
      <c r="B9" s="1157"/>
      <c r="C9" s="646"/>
      <c r="D9" s="1022"/>
    </row>
    <row r="10" spans="1:6">
      <c r="A10" s="1158" t="s">
        <v>19</v>
      </c>
      <c r="B10" s="1158"/>
      <c r="C10" s="645"/>
      <c r="D10" s="1023" t="str">
        <f>Control!B8</f>
        <v>2015-00000</v>
      </c>
    </row>
    <row r="11" spans="1:6">
      <c r="A11" s="1158" t="s">
        <v>785</v>
      </c>
      <c r="B11" s="1158"/>
      <c r="C11" s="645"/>
      <c r="D11" s="1024" t="str">
        <f>Control!C8</f>
        <v>2015-00220</v>
      </c>
    </row>
    <row r="12" spans="1:6" ht="7.5" customHeight="1">
      <c r="A12" s="646"/>
      <c r="B12" s="1030"/>
      <c r="C12" s="646"/>
      <c r="D12" s="1025"/>
    </row>
    <row r="13" spans="1:6">
      <c r="A13" s="1142" t="s">
        <v>682</v>
      </c>
      <c r="B13" s="1143"/>
      <c r="C13" s="646"/>
      <c r="D13" s="1026">
        <f>+Month3</f>
        <v>42217</v>
      </c>
    </row>
    <row r="14" spans="1:6">
      <c r="A14" s="1144" t="s">
        <v>681</v>
      </c>
      <c r="B14" s="1145"/>
      <c r="D14" s="1026">
        <f>+CF_Month_3</f>
        <v>42186</v>
      </c>
    </row>
    <row r="15" spans="1:6" ht="30.75" thickBot="1">
      <c r="A15" s="644"/>
      <c r="B15" s="1004" t="s">
        <v>784</v>
      </c>
      <c r="C15" s="1005"/>
      <c r="D15" s="995" t="s">
        <v>783</v>
      </c>
      <c r="E15" s="1006" t="s">
        <v>782</v>
      </c>
      <c r="F15" s="1007" t="s">
        <v>731</v>
      </c>
    </row>
    <row r="16" spans="1:6">
      <c r="A16" s="1148" t="s">
        <v>781</v>
      </c>
      <c r="B16" s="1148"/>
      <c r="C16" s="1008"/>
      <c r="D16" s="996"/>
      <c r="E16" s="1009"/>
      <c r="F16" s="1010"/>
    </row>
    <row r="17" spans="1:6">
      <c r="A17" s="993" t="s">
        <v>780</v>
      </c>
      <c r="B17" s="1031" t="s">
        <v>1157</v>
      </c>
      <c r="C17" s="1011"/>
      <c r="D17" s="1027" t="s">
        <v>774</v>
      </c>
      <c r="E17" s="638" t="s">
        <v>858</v>
      </c>
      <c r="F17" s="802"/>
    </row>
    <row r="18" spans="1:6" ht="6.75" customHeight="1">
      <c r="E18" s="801"/>
      <c r="F18" s="801"/>
    </row>
    <row r="19" spans="1:6">
      <c r="A19" s="1149">
        <v>1</v>
      </c>
      <c r="B19" s="1031" t="s">
        <v>1144</v>
      </c>
      <c r="C19" s="1011"/>
      <c r="D19" s="1027" t="s">
        <v>774</v>
      </c>
      <c r="E19" s="638" t="s">
        <v>858</v>
      </c>
      <c r="F19" s="802"/>
    </row>
    <row r="20" spans="1:6">
      <c r="A20" s="1150"/>
      <c r="B20" s="1031" t="s">
        <v>779</v>
      </c>
      <c r="C20" s="1011"/>
      <c r="D20" s="1027" t="s">
        <v>777</v>
      </c>
      <c r="E20" s="638" t="s">
        <v>858</v>
      </c>
      <c r="F20" s="802"/>
    </row>
    <row r="21" spans="1:6" ht="6.75" customHeight="1">
      <c r="E21" s="801"/>
      <c r="F21" s="801"/>
    </row>
    <row r="22" spans="1:6" s="642" customFormat="1">
      <c r="A22" s="1151">
        <v>3</v>
      </c>
      <c r="B22" s="1012" t="s">
        <v>1158</v>
      </c>
      <c r="C22" s="1013"/>
      <c r="D22" s="1027" t="s">
        <v>1159</v>
      </c>
      <c r="E22" s="638" t="s">
        <v>858</v>
      </c>
      <c r="F22" s="802"/>
    </row>
    <row r="23" spans="1:6" s="642" customFormat="1">
      <c r="A23" s="1152"/>
      <c r="B23" s="1012" t="s">
        <v>1071</v>
      </c>
      <c r="C23" s="1013"/>
      <c r="D23" s="998" t="s">
        <v>776</v>
      </c>
      <c r="E23" s="638" t="s">
        <v>858</v>
      </c>
      <c r="F23" s="802"/>
    </row>
    <row r="24" spans="1:6" s="642" customFormat="1">
      <c r="A24" s="1152"/>
      <c r="B24" s="1012" t="s">
        <v>1072</v>
      </c>
      <c r="C24" s="1013"/>
      <c r="D24" s="998" t="s">
        <v>778</v>
      </c>
      <c r="E24" s="638" t="s">
        <v>858</v>
      </c>
      <c r="F24" s="802"/>
    </row>
    <row r="25" spans="1:6" s="642" customFormat="1">
      <c r="A25" s="1152"/>
      <c r="B25" s="1012" t="s">
        <v>1073</v>
      </c>
      <c r="C25" s="1013"/>
      <c r="D25" s="998" t="s">
        <v>1101</v>
      </c>
      <c r="E25" s="638" t="s">
        <v>858</v>
      </c>
      <c r="F25" s="802"/>
    </row>
    <row r="26" spans="1:6" s="642" customFormat="1">
      <c r="A26" s="1152"/>
      <c r="B26" s="1012" t="s">
        <v>1074</v>
      </c>
      <c r="C26" s="1013"/>
      <c r="D26" s="1027" t="s">
        <v>777</v>
      </c>
      <c r="E26" s="638" t="s">
        <v>858</v>
      </c>
      <c r="F26" s="802"/>
    </row>
    <row r="27" spans="1:6" s="642" customFormat="1">
      <c r="A27" s="1152"/>
      <c r="B27" s="1012" t="s">
        <v>1113</v>
      </c>
      <c r="C27" s="1013"/>
      <c r="D27" s="998" t="s">
        <v>1102</v>
      </c>
      <c r="E27" s="638" t="s">
        <v>858</v>
      </c>
      <c r="F27" s="802"/>
    </row>
    <row r="28" spans="1:6" s="642" customFormat="1">
      <c r="A28" s="1152"/>
      <c r="B28" s="1012" t="s">
        <v>1109</v>
      </c>
      <c r="C28" s="1013"/>
      <c r="D28" s="1027" t="s">
        <v>777</v>
      </c>
      <c r="E28" s="638" t="s">
        <v>858</v>
      </c>
      <c r="F28" s="802"/>
    </row>
    <row r="29" spans="1:6" s="642" customFormat="1">
      <c r="A29" s="1152"/>
      <c r="B29" s="1012" t="s">
        <v>1112</v>
      </c>
      <c r="C29" s="1013"/>
      <c r="D29" s="998" t="s">
        <v>1103</v>
      </c>
      <c r="E29" s="638" t="s">
        <v>858</v>
      </c>
      <c r="F29" s="802"/>
    </row>
    <row r="30" spans="1:6" s="642" customFormat="1">
      <c r="A30" s="1152"/>
      <c r="B30" s="1012" t="s">
        <v>1111</v>
      </c>
      <c r="C30" s="1013"/>
      <c r="D30" s="1027" t="s">
        <v>982</v>
      </c>
      <c r="E30" s="638" t="s">
        <v>858</v>
      </c>
      <c r="F30" s="802"/>
    </row>
    <row r="31" spans="1:6" s="642" customFormat="1">
      <c r="A31" s="1152"/>
      <c r="B31" s="1033" t="s">
        <v>1110</v>
      </c>
      <c r="C31" s="1013"/>
      <c r="D31" s="1027" t="s">
        <v>1104</v>
      </c>
      <c r="E31" s="638" t="s">
        <v>858</v>
      </c>
      <c r="F31" s="802"/>
    </row>
    <row r="32" spans="1:6" s="642" customFormat="1">
      <c r="A32" s="1152"/>
      <c r="B32" s="1012" t="s">
        <v>1109</v>
      </c>
      <c r="C32" s="1013"/>
      <c r="D32" s="1027" t="s">
        <v>777</v>
      </c>
      <c r="E32" s="638" t="s">
        <v>858</v>
      </c>
      <c r="F32" s="802"/>
    </row>
    <row r="33" spans="1:6" s="642" customFormat="1">
      <c r="A33" s="1152"/>
      <c r="B33" s="1033" t="s">
        <v>1108</v>
      </c>
      <c r="C33" s="1000"/>
      <c r="D33" s="1027" t="s">
        <v>1105</v>
      </c>
      <c r="E33" s="638" t="s">
        <v>858</v>
      </c>
      <c r="F33" s="997"/>
    </row>
    <row r="34" spans="1:6" s="642" customFormat="1">
      <c r="A34" s="865"/>
      <c r="B34" s="1012" t="s">
        <v>1107</v>
      </c>
      <c r="C34" s="1000"/>
      <c r="D34" s="1027" t="s">
        <v>982</v>
      </c>
      <c r="E34" s="638" t="s">
        <v>858</v>
      </c>
      <c r="F34" s="997"/>
    </row>
    <row r="35" spans="1:6" ht="6.75" customHeight="1">
      <c r="E35" s="801"/>
      <c r="F35" s="801"/>
    </row>
    <row r="36" spans="1:6" s="642" customFormat="1">
      <c r="A36" s="1153">
        <v>4</v>
      </c>
      <c r="B36" s="1014" t="s">
        <v>1114</v>
      </c>
      <c r="C36" s="1015"/>
      <c r="D36" s="998" t="s">
        <v>1106</v>
      </c>
      <c r="E36" s="638" t="s">
        <v>858</v>
      </c>
      <c r="F36" s="802"/>
    </row>
    <row r="37" spans="1:6" s="642" customFormat="1" ht="30">
      <c r="A37" s="1153"/>
      <c r="B37" s="1014" t="s">
        <v>1115</v>
      </c>
      <c r="C37" s="1015"/>
      <c r="D37" s="1027" t="s">
        <v>861</v>
      </c>
      <c r="E37" s="638" t="s">
        <v>858</v>
      </c>
      <c r="F37" s="802"/>
    </row>
    <row r="38" spans="1:6" s="642" customFormat="1">
      <c r="A38" s="1153"/>
      <c r="B38" s="1014" t="s">
        <v>1116</v>
      </c>
      <c r="C38" s="1015"/>
      <c r="D38" s="998" t="s">
        <v>1046</v>
      </c>
      <c r="E38" s="638" t="s">
        <v>858</v>
      </c>
      <c r="F38" s="802"/>
    </row>
    <row r="39" spans="1:6" s="642" customFormat="1" ht="30">
      <c r="A39" s="1153"/>
      <c r="B39" s="1014" t="s">
        <v>1117</v>
      </c>
      <c r="C39" s="1015"/>
      <c r="D39" s="1027" t="s">
        <v>861</v>
      </c>
      <c r="E39" s="638" t="s">
        <v>858</v>
      </c>
      <c r="F39" s="802"/>
    </row>
    <row r="40" spans="1:6" s="642" customFormat="1" ht="30">
      <c r="A40" s="1153"/>
      <c r="B40" s="1014" t="s">
        <v>1118</v>
      </c>
      <c r="C40" s="1015"/>
      <c r="D40" s="998" t="s">
        <v>1160</v>
      </c>
      <c r="E40" s="638" t="s">
        <v>858</v>
      </c>
      <c r="F40" s="802"/>
    </row>
    <row r="41" spans="1:6" s="642" customFormat="1">
      <c r="A41" s="643"/>
      <c r="B41" s="1016"/>
      <c r="C41" s="1013"/>
      <c r="D41" s="999"/>
      <c r="E41" s="868"/>
      <c r="F41" s="868"/>
    </row>
    <row r="42" spans="1:6" s="642" customFormat="1">
      <c r="A42" s="1153">
        <v>5</v>
      </c>
      <c r="B42" s="1014" t="s">
        <v>1045</v>
      </c>
      <c r="C42" s="1015"/>
      <c r="D42" s="1027" t="s">
        <v>1161</v>
      </c>
      <c r="E42" s="638" t="s">
        <v>858</v>
      </c>
      <c r="F42" s="802"/>
    </row>
    <row r="43" spans="1:6" s="642" customFormat="1">
      <c r="A43" s="1153"/>
      <c r="B43" s="1014" t="s">
        <v>218</v>
      </c>
      <c r="C43" s="1015"/>
      <c r="D43" s="1027" t="s">
        <v>776</v>
      </c>
      <c r="E43" s="638" t="s">
        <v>858</v>
      </c>
      <c r="F43" s="802"/>
    </row>
    <row r="44" spans="1:6" s="642" customFormat="1">
      <c r="A44" s="1153"/>
      <c r="B44" s="1014" t="s">
        <v>775</v>
      </c>
      <c r="C44" s="1015"/>
      <c r="D44" s="998" t="s">
        <v>774</v>
      </c>
      <c r="E44" s="638" t="s">
        <v>858</v>
      </c>
      <c r="F44" s="802"/>
    </row>
    <row r="45" spans="1:6" s="642" customFormat="1">
      <c r="A45" s="643"/>
      <c r="B45" s="1016"/>
      <c r="C45" s="1013"/>
      <c r="D45" s="999"/>
      <c r="E45" s="868"/>
      <c r="F45" s="868"/>
    </row>
    <row r="46" spans="1:6">
      <c r="A46" s="1148" t="s">
        <v>0</v>
      </c>
      <c r="B46" s="1148"/>
      <c r="C46" s="1008"/>
      <c r="D46" s="1028"/>
      <c r="E46" s="869"/>
      <c r="F46" s="869"/>
    </row>
    <row r="47" spans="1:6">
      <c r="A47" s="1149"/>
      <c r="B47" s="1031" t="s">
        <v>773</v>
      </c>
      <c r="C47" s="1011"/>
      <c r="D47" s="1027" t="s">
        <v>1162</v>
      </c>
      <c r="E47" s="638" t="s">
        <v>858</v>
      </c>
      <c r="F47" s="1017"/>
    </row>
    <row r="48" spans="1:6">
      <c r="A48" s="1154"/>
      <c r="B48" s="1027" t="s">
        <v>772</v>
      </c>
      <c r="C48" s="1018"/>
      <c r="D48" s="1027" t="s">
        <v>983</v>
      </c>
      <c r="E48" s="638" t="s">
        <v>858</v>
      </c>
      <c r="F48" s="802"/>
    </row>
    <row r="49" spans="1:6">
      <c r="A49" s="1150"/>
      <c r="B49" s="1027" t="s">
        <v>218</v>
      </c>
      <c r="C49" s="1018"/>
      <c r="D49" s="1027" t="s">
        <v>1047</v>
      </c>
      <c r="E49" s="638" t="s">
        <v>858</v>
      </c>
      <c r="F49" s="802"/>
    </row>
    <row r="50" spans="1:6">
      <c r="E50" s="801"/>
      <c r="F50" s="994"/>
    </row>
    <row r="51" spans="1:6">
      <c r="A51" s="1148" t="s">
        <v>50</v>
      </c>
      <c r="B51" s="1148"/>
      <c r="C51" s="1008"/>
      <c r="E51" s="801"/>
      <c r="F51" s="994"/>
    </row>
    <row r="52" spans="1:6">
      <c r="A52" s="1149" t="s">
        <v>8</v>
      </c>
      <c r="B52" s="1031" t="s">
        <v>1075</v>
      </c>
      <c r="C52" s="1011"/>
      <c r="D52" s="1027" t="s">
        <v>1085</v>
      </c>
      <c r="E52" s="638" t="s">
        <v>858</v>
      </c>
      <c r="F52" s="1017"/>
    </row>
    <row r="53" spans="1:6">
      <c r="A53" s="1154"/>
      <c r="B53" s="1031" t="s">
        <v>1076</v>
      </c>
      <c r="C53" s="1011"/>
      <c r="D53" s="1027" t="s">
        <v>1081</v>
      </c>
      <c r="E53" s="638" t="s">
        <v>858</v>
      </c>
      <c r="F53" s="802"/>
    </row>
    <row r="54" spans="1:6">
      <c r="A54" s="1154"/>
      <c r="B54" s="1031" t="s">
        <v>1077</v>
      </c>
      <c r="C54" s="1011"/>
      <c r="D54" s="1027" t="s">
        <v>1082</v>
      </c>
      <c r="E54" s="638" t="s">
        <v>858</v>
      </c>
      <c r="F54" s="802"/>
    </row>
    <row r="55" spans="1:6">
      <c r="A55" s="1154"/>
      <c r="B55" s="1031" t="s">
        <v>1078</v>
      </c>
      <c r="C55" s="1011"/>
      <c r="D55" s="1027" t="s">
        <v>1083</v>
      </c>
      <c r="E55" s="638" t="s">
        <v>858</v>
      </c>
      <c r="F55" s="802"/>
    </row>
    <row r="56" spans="1:6">
      <c r="A56" s="1150"/>
      <c r="B56" s="1031" t="s">
        <v>1079</v>
      </c>
      <c r="C56" s="1011"/>
      <c r="D56" s="1027" t="s">
        <v>1084</v>
      </c>
      <c r="E56" s="638" t="s">
        <v>858</v>
      </c>
      <c r="F56" s="802"/>
    </row>
    <row r="57" spans="1:6" ht="6.75" customHeight="1">
      <c r="E57" s="801"/>
      <c r="F57" s="994"/>
    </row>
    <row r="58" spans="1:6">
      <c r="A58" s="1149" t="s">
        <v>7</v>
      </c>
      <c r="B58" s="1031" t="s">
        <v>1075</v>
      </c>
      <c r="C58" s="1011"/>
      <c r="D58" s="1027" t="s">
        <v>1086</v>
      </c>
      <c r="E58" s="638" t="s">
        <v>858</v>
      </c>
      <c r="F58" s="1017"/>
    </row>
    <row r="59" spans="1:6">
      <c r="A59" s="1154"/>
      <c r="B59" s="1031" t="s">
        <v>1076</v>
      </c>
      <c r="C59" s="1011"/>
      <c r="D59" s="1027" t="s">
        <v>1087</v>
      </c>
      <c r="E59" s="638" t="s">
        <v>858</v>
      </c>
      <c r="F59" s="802"/>
    </row>
    <row r="60" spans="1:6">
      <c r="A60" s="1150"/>
      <c r="B60" s="1031" t="s">
        <v>1080</v>
      </c>
      <c r="C60" s="1011"/>
      <c r="D60" s="1027" t="s">
        <v>1142</v>
      </c>
      <c r="E60" s="638" t="s">
        <v>858</v>
      </c>
      <c r="F60" s="802"/>
    </row>
    <row r="61" spans="1:6">
      <c r="A61" s="641"/>
      <c r="B61" s="1034"/>
      <c r="D61" s="1028"/>
      <c r="E61" s="869"/>
      <c r="F61" s="1000"/>
    </row>
    <row r="62" spans="1:6">
      <c r="A62" s="1148" t="s">
        <v>256</v>
      </c>
      <c r="B62" s="1148"/>
      <c r="C62" s="1008"/>
      <c r="E62" s="801"/>
      <c r="F62" s="994"/>
    </row>
    <row r="63" spans="1:6" ht="30">
      <c r="A63" s="1155" t="s">
        <v>770</v>
      </c>
      <c r="B63" s="1031" t="s">
        <v>1132</v>
      </c>
      <c r="C63" s="1011"/>
      <c r="D63" s="1027" t="s">
        <v>1133</v>
      </c>
      <c r="E63" s="638" t="s">
        <v>858</v>
      </c>
      <c r="F63" s="802"/>
    </row>
    <row r="64" spans="1:6">
      <c r="A64" s="1155"/>
      <c r="B64" s="1031" t="s">
        <v>1088</v>
      </c>
      <c r="C64" s="1011"/>
      <c r="D64" s="1027" t="s">
        <v>1089</v>
      </c>
      <c r="E64" s="638" t="s">
        <v>858</v>
      </c>
      <c r="F64" s="997"/>
    </row>
    <row r="65" spans="1:6" ht="6.75" customHeight="1">
      <c r="E65" s="801"/>
      <c r="F65" s="801"/>
    </row>
    <row r="66" spans="1:6" ht="30">
      <c r="A66" s="1155" t="s">
        <v>769</v>
      </c>
      <c r="B66" s="1031" t="s">
        <v>1134</v>
      </c>
      <c r="C66" s="1011"/>
      <c r="D66" s="1027" t="s">
        <v>1135</v>
      </c>
      <c r="E66" s="638" t="s">
        <v>858</v>
      </c>
      <c r="F66" s="802"/>
    </row>
    <row r="67" spans="1:6">
      <c r="A67" s="1155"/>
      <c r="B67" s="1031" t="s">
        <v>1088</v>
      </c>
      <c r="C67" s="1011"/>
      <c r="D67" s="1027" t="s">
        <v>1090</v>
      </c>
      <c r="E67" s="638" t="s">
        <v>858</v>
      </c>
      <c r="F67" s="997"/>
    </row>
    <row r="68" spans="1:6" ht="6.75" customHeight="1">
      <c r="E68" s="801"/>
      <c r="F68" s="801"/>
    </row>
    <row r="69" spans="1:6">
      <c r="A69" s="1149" t="s">
        <v>768</v>
      </c>
      <c r="B69" s="1019" t="s">
        <v>1054</v>
      </c>
      <c r="C69" s="1011"/>
      <c r="D69" s="1027" t="s">
        <v>1091</v>
      </c>
      <c r="E69" s="638" t="s">
        <v>858</v>
      </c>
      <c r="F69" s="802"/>
    </row>
    <row r="70" spans="1:6" ht="30">
      <c r="A70" s="1154"/>
      <c r="B70" s="1019" t="s">
        <v>1143</v>
      </c>
      <c r="C70" s="1011"/>
      <c r="D70" s="1027" t="s">
        <v>1092</v>
      </c>
      <c r="E70" s="638" t="s">
        <v>858</v>
      </c>
      <c r="F70" s="997"/>
    </row>
    <row r="71" spans="1:6">
      <c r="A71" s="1154"/>
      <c r="B71" s="1019" t="s">
        <v>1056</v>
      </c>
      <c r="C71" s="1011"/>
      <c r="D71" s="1027" t="s">
        <v>1098</v>
      </c>
      <c r="E71" s="638" t="s">
        <v>858</v>
      </c>
      <c r="F71" s="997"/>
    </row>
    <row r="72" spans="1:6" ht="30">
      <c r="A72" s="1154"/>
      <c r="B72" s="1019" t="s">
        <v>1053</v>
      </c>
      <c r="C72" s="1011"/>
      <c r="D72" s="1027" t="s">
        <v>1093</v>
      </c>
      <c r="E72" s="638" t="s">
        <v>858</v>
      </c>
      <c r="F72" s="997"/>
    </row>
    <row r="73" spans="1:6">
      <c r="A73" s="1150"/>
      <c r="B73" s="1019" t="s">
        <v>1057</v>
      </c>
      <c r="C73" s="1011"/>
      <c r="D73" s="1027" t="s">
        <v>1094</v>
      </c>
      <c r="E73" s="638" t="s">
        <v>858</v>
      </c>
      <c r="F73" s="1017"/>
    </row>
    <row r="74" spans="1:6" ht="6.75" customHeight="1">
      <c r="E74" s="638"/>
      <c r="F74" s="801"/>
    </row>
    <row r="75" spans="1:6">
      <c r="A75" s="1149" t="s">
        <v>767</v>
      </c>
      <c r="B75" s="1019" t="s">
        <v>1136</v>
      </c>
      <c r="C75" s="1011"/>
      <c r="D75" s="1027" t="s">
        <v>1097</v>
      </c>
      <c r="E75" s="638" t="s">
        <v>858</v>
      </c>
      <c r="F75" s="802"/>
    </row>
    <row r="76" spans="1:6">
      <c r="A76" s="1154"/>
      <c r="B76" s="1019" t="s">
        <v>1096</v>
      </c>
      <c r="C76" s="1011"/>
      <c r="D76" s="1027" t="s">
        <v>1090</v>
      </c>
      <c r="E76" s="638" t="s">
        <v>858</v>
      </c>
      <c r="F76" s="997"/>
    </row>
    <row r="77" spans="1:6">
      <c r="A77" s="1154"/>
      <c r="B77" s="1019" t="s">
        <v>1058</v>
      </c>
      <c r="C77" s="1011"/>
      <c r="D77" s="1027" t="s">
        <v>1055</v>
      </c>
      <c r="E77" s="638" t="s">
        <v>858</v>
      </c>
      <c r="F77" s="997"/>
    </row>
    <row r="78" spans="1:6" ht="30">
      <c r="A78" s="1154"/>
      <c r="B78" s="1019" t="s">
        <v>1059</v>
      </c>
      <c r="C78" s="1011"/>
      <c r="D78" s="1027" t="str">
        <f>+D72</f>
        <v xml:space="preserve"> injections = (negative) / withdrawals = positive</v>
      </c>
      <c r="E78" s="638" t="s">
        <v>858</v>
      </c>
      <c r="F78" s="997"/>
    </row>
    <row r="79" spans="1:6">
      <c r="A79" s="992"/>
      <c r="B79" s="1019" t="s">
        <v>1060</v>
      </c>
      <c r="C79" s="1011"/>
      <c r="D79" s="1027" t="s">
        <v>1119</v>
      </c>
      <c r="E79" s="638" t="s">
        <v>858</v>
      </c>
      <c r="F79" s="1017"/>
    </row>
    <row r="80" spans="1:6" ht="6.75" customHeight="1">
      <c r="E80" s="801"/>
      <c r="F80" s="801"/>
    </row>
    <row r="81" spans="1:6">
      <c r="A81" s="1155" t="s">
        <v>766</v>
      </c>
      <c r="B81" s="1031" t="s">
        <v>1095</v>
      </c>
      <c r="C81" s="1011"/>
      <c r="D81" s="1027" t="s">
        <v>1091</v>
      </c>
      <c r="E81" s="638" t="s">
        <v>858</v>
      </c>
      <c r="F81" s="802"/>
    </row>
    <row r="82" spans="1:6">
      <c r="A82" s="1155"/>
      <c r="B82" s="1031" t="s">
        <v>1121</v>
      </c>
      <c r="C82" s="1011"/>
      <c r="D82" s="1027" t="s">
        <v>1120</v>
      </c>
      <c r="E82" s="638" t="s">
        <v>858</v>
      </c>
      <c r="F82" s="997"/>
    </row>
    <row r="83" spans="1:6">
      <c r="A83" s="1155"/>
      <c r="B83" s="1019" t="s">
        <v>1061</v>
      </c>
      <c r="C83" s="1011"/>
      <c r="D83" s="1027" t="s">
        <v>1055</v>
      </c>
      <c r="E83" s="802"/>
      <c r="F83" s="1017"/>
    </row>
    <row r="84" spans="1:6" ht="6.75" customHeight="1">
      <c r="E84" s="801"/>
      <c r="F84" s="801"/>
    </row>
    <row r="85" spans="1:6" ht="32.25">
      <c r="A85" s="993" t="s">
        <v>765</v>
      </c>
      <c r="B85" s="1031" t="s">
        <v>1062</v>
      </c>
      <c r="C85" s="1011"/>
      <c r="D85" s="1027" t="s">
        <v>1063</v>
      </c>
      <c r="E85" s="638" t="s">
        <v>858</v>
      </c>
      <c r="F85" s="802"/>
    </row>
    <row r="86" spans="1:6" ht="6.75" customHeight="1">
      <c r="E86" s="801"/>
      <c r="F86" s="801"/>
    </row>
    <row r="87" spans="1:6" ht="60">
      <c r="A87" s="1149" t="s">
        <v>764</v>
      </c>
      <c r="B87" s="1019" t="s">
        <v>1122</v>
      </c>
      <c r="C87" s="1011"/>
      <c r="D87" s="1027" t="s">
        <v>1137</v>
      </c>
      <c r="E87" s="638" t="s">
        <v>858</v>
      </c>
      <c r="F87" s="997"/>
    </row>
    <row r="88" spans="1:6" ht="30">
      <c r="A88" s="1154"/>
      <c r="B88" s="1019" t="s">
        <v>1123</v>
      </c>
      <c r="C88" s="1011"/>
      <c r="D88" s="1027" t="s">
        <v>1138</v>
      </c>
      <c r="E88" s="638" t="s">
        <v>858</v>
      </c>
      <c r="F88" s="997"/>
    </row>
    <row r="89" spans="1:6">
      <c r="A89" s="1154"/>
      <c r="B89" s="1019" t="s">
        <v>1124</v>
      </c>
      <c r="C89" s="1011"/>
      <c r="D89" s="1027" t="s">
        <v>1064</v>
      </c>
      <c r="E89" s="638" t="s">
        <v>858</v>
      </c>
      <c r="F89" s="997"/>
    </row>
    <row r="90" spans="1:6">
      <c r="A90" s="1150"/>
      <c r="B90" s="1019" t="s">
        <v>1125</v>
      </c>
      <c r="C90" s="1011"/>
      <c r="D90" s="1027" t="s">
        <v>989</v>
      </c>
      <c r="E90" s="638" t="s">
        <v>858</v>
      </c>
      <c r="F90" s="1017"/>
    </row>
    <row r="91" spans="1:6" ht="6.75" customHeight="1">
      <c r="E91" s="801"/>
      <c r="F91" s="994"/>
    </row>
    <row r="92" spans="1:6" ht="30">
      <c r="A92" s="1155" t="s">
        <v>763</v>
      </c>
      <c r="B92" s="1031" t="s">
        <v>1126</v>
      </c>
      <c r="C92" s="1011"/>
      <c r="D92" s="1027" t="s">
        <v>1163</v>
      </c>
      <c r="E92" s="638" t="s">
        <v>858</v>
      </c>
      <c r="F92" s="997"/>
    </row>
    <row r="93" spans="1:6">
      <c r="A93" s="1155"/>
      <c r="B93" s="1031" t="s">
        <v>762</v>
      </c>
      <c r="C93" s="1011"/>
      <c r="D93" s="1027" t="s">
        <v>761</v>
      </c>
      <c r="E93" s="638" t="s">
        <v>858</v>
      </c>
      <c r="F93" s="1017"/>
    </row>
    <row r="94" spans="1:6">
      <c r="E94" s="801"/>
      <c r="F94" s="994"/>
    </row>
    <row r="95" spans="1:6">
      <c r="A95" s="1148" t="s">
        <v>760</v>
      </c>
      <c r="B95" s="1148"/>
      <c r="C95" s="1008"/>
      <c r="E95" s="801"/>
      <c r="F95" s="994"/>
    </row>
    <row r="96" spans="1:6">
      <c r="A96" s="993" t="s">
        <v>759</v>
      </c>
      <c r="B96" s="1031" t="s">
        <v>758</v>
      </c>
      <c r="C96" s="1011"/>
      <c r="D96" s="1027" t="s">
        <v>990</v>
      </c>
      <c r="E96" s="638" t="s">
        <v>858</v>
      </c>
      <c r="F96" s="1017"/>
    </row>
    <row r="97" spans="1:6" ht="6.75" customHeight="1">
      <c r="E97" s="801"/>
      <c r="F97" s="994"/>
    </row>
    <row r="98" spans="1:6">
      <c r="A98" s="993" t="s">
        <v>757</v>
      </c>
      <c r="B98" s="1031" t="s">
        <v>373</v>
      </c>
      <c r="C98" s="1011"/>
      <c r="D98" s="1027" t="s">
        <v>1065</v>
      </c>
      <c r="E98" s="638" t="s">
        <v>858</v>
      </c>
      <c r="F98" s="1017"/>
    </row>
    <row r="99" spans="1:6">
      <c r="E99" s="801"/>
      <c r="F99" s="994"/>
    </row>
    <row r="100" spans="1:6">
      <c r="A100" s="1148" t="s">
        <v>485</v>
      </c>
      <c r="B100" s="1148"/>
      <c r="C100" s="1008"/>
      <c r="E100" s="801"/>
      <c r="F100" s="994"/>
    </row>
    <row r="101" spans="1:6">
      <c r="A101" s="1155" t="s">
        <v>756</v>
      </c>
      <c r="B101" s="1031" t="s">
        <v>1066</v>
      </c>
      <c r="C101" s="1011"/>
      <c r="D101" s="1027" t="s">
        <v>1067</v>
      </c>
      <c r="E101" s="638" t="s">
        <v>858</v>
      </c>
      <c r="F101" s="802"/>
    </row>
    <row r="102" spans="1:6">
      <c r="A102" s="1155"/>
      <c r="B102" s="1031" t="s">
        <v>1068</v>
      </c>
      <c r="C102" s="1011"/>
      <c r="D102" s="1027" t="s">
        <v>755</v>
      </c>
      <c r="E102" s="638" t="s">
        <v>858</v>
      </c>
      <c r="F102" s="802"/>
    </row>
    <row r="103" spans="1:6">
      <c r="A103" s="1155"/>
      <c r="B103" s="1031" t="s">
        <v>1069</v>
      </c>
      <c r="C103" s="1011"/>
      <c r="D103" s="1027" t="s">
        <v>755</v>
      </c>
      <c r="E103" s="638" t="s">
        <v>858</v>
      </c>
      <c r="F103" s="802"/>
    </row>
    <row r="104" spans="1:6" ht="6.75" customHeight="1">
      <c r="E104" s="801"/>
      <c r="F104" s="801"/>
    </row>
    <row r="105" spans="1:6" ht="30">
      <c r="A105" s="993" t="s">
        <v>754</v>
      </c>
      <c r="B105" s="1031" t="s">
        <v>1139</v>
      </c>
      <c r="C105" s="1011"/>
      <c r="D105" s="1027" t="s">
        <v>753</v>
      </c>
      <c r="E105" s="638" t="s">
        <v>858</v>
      </c>
      <c r="F105" s="802"/>
    </row>
    <row r="106" spans="1:6" ht="6.75" customHeight="1">
      <c r="E106" s="802"/>
      <c r="F106" s="802"/>
    </row>
    <row r="107" spans="1:6" ht="30">
      <c r="A107" s="1149" t="s">
        <v>752</v>
      </c>
      <c r="B107" s="1031" t="s">
        <v>1140</v>
      </c>
      <c r="C107" s="1011"/>
      <c r="D107" s="1027" t="s">
        <v>751</v>
      </c>
      <c r="E107" s="638" t="s">
        <v>858</v>
      </c>
      <c r="F107" s="802"/>
    </row>
    <row r="108" spans="1:6">
      <c r="A108" s="1150"/>
      <c r="B108" s="1027" t="s">
        <v>516</v>
      </c>
      <c r="C108" s="1018"/>
      <c r="D108" s="1027" t="s">
        <v>1070</v>
      </c>
      <c r="E108" s="638" t="s">
        <v>858</v>
      </c>
      <c r="F108" s="802"/>
    </row>
    <row r="109" spans="1:6" ht="6.75" customHeight="1">
      <c r="E109" s="801"/>
      <c r="F109" s="801"/>
    </row>
    <row r="110" spans="1:6">
      <c r="A110" s="1149" t="s">
        <v>750</v>
      </c>
      <c r="B110" s="1019" t="s">
        <v>749</v>
      </c>
      <c r="C110" s="1011"/>
      <c r="D110" s="1027" t="s">
        <v>1145</v>
      </c>
      <c r="E110" s="638" t="s">
        <v>858</v>
      </c>
      <c r="F110" s="802"/>
    </row>
    <row r="111" spans="1:6" ht="30">
      <c r="A111" s="1150"/>
      <c r="B111" s="1019" t="s">
        <v>985</v>
      </c>
      <c r="C111" s="1011"/>
      <c r="D111" s="1027" t="s">
        <v>984</v>
      </c>
      <c r="E111" s="638" t="s">
        <v>858</v>
      </c>
      <c r="F111" s="802"/>
    </row>
    <row r="112" spans="1:6" ht="6.75" customHeight="1">
      <c r="E112" s="801"/>
      <c r="F112" s="801"/>
    </row>
    <row r="113" spans="1:6">
      <c r="A113" s="1155" t="s">
        <v>748</v>
      </c>
      <c r="B113" s="1031" t="s">
        <v>747</v>
      </c>
      <c r="C113" s="1011"/>
      <c r="D113" s="1027" t="s">
        <v>746</v>
      </c>
      <c r="E113" s="638" t="s">
        <v>858</v>
      </c>
      <c r="F113" s="802"/>
    </row>
    <row r="114" spans="1:6">
      <c r="A114" s="1155"/>
      <c r="B114" s="1031" t="s">
        <v>745</v>
      </c>
      <c r="C114" s="1011"/>
      <c r="D114" s="1027" t="s">
        <v>744</v>
      </c>
      <c r="E114" s="638" t="s">
        <v>858</v>
      </c>
      <c r="F114" s="802"/>
    </row>
    <row r="115" spans="1:6" ht="6.75" customHeight="1">
      <c r="E115" s="801"/>
      <c r="F115" s="994"/>
    </row>
    <row r="116" spans="1:6">
      <c r="A116" s="1062" t="s">
        <v>743</v>
      </c>
      <c r="B116" s="1063" t="s">
        <v>742</v>
      </c>
      <c r="C116" s="1064"/>
      <c r="D116" s="1063" t="s">
        <v>741</v>
      </c>
      <c r="E116" s="717" t="s">
        <v>858</v>
      </c>
      <c r="F116" s="1017"/>
    </row>
    <row r="117" spans="1:6" s="635" customFormat="1">
      <c r="A117" s="640"/>
      <c r="B117" s="1028"/>
      <c r="C117" s="1000"/>
      <c r="D117" s="1028"/>
      <c r="E117" s="639"/>
      <c r="F117" s="1000"/>
    </row>
    <row r="118" spans="1:6" s="635" customFormat="1">
      <c r="A118" s="1156" t="s">
        <v>606</v>
      </c>
      <c r="B118" s="1156"/>
      <c r="C118" s="1000"/>
      <c r="D118" s="1028"/>
      <c r="E118" s="639"/>
      <c r="F118" s="1000"/>
    </row>
    <row r="119" spans="1:6">
      <c r="A119" s="1062" t="s">
        <v>740</v>
      </c>
      <c r="B119" s="1063" t="s">
        <v>630</v>
      </c>
      <c r="C119" s="1064"/>
      <c r="D119" s="1063" t="s">
        <v>739</v>
      </c>
      <c r="E119" s="717"/>
      <c r="F119" s="717"/>
    </row>
    <row r="120" spans="1:6" ht="6.75" customHeight="1">
      <c r="E120" s="801"/>
      <c r="F120" s="801"/>
    </row>
    <row r="121" spans="1:6">
      <c r="A121" s="1062" t="s">
        <v>738</v>
      </c>
      <c r="B121" s="1063" t="s">
        <v>991</v>
      </c>
      <c r="C121" s="1064"/>
      <c r="D121" s="1063" t="s">
        <v>859</v>
      </c>
      <c r="E121" s="717"/>
      <c r="F121" s="717"/>
    </row>
    <row r="122" spans="1:6" ht="6.75" customHeight="1">
      <c r="E122" s="637"/>
    </row>
    <row r="123" spans="1:6">
      <c r="A123" s="1159" t="s">
        <v>542</v>
      </c>
      <c r="B123" s="1031" t="s">
        <v>737</v>
      </c>
      <c r="C123" s="1011"/>
      <c r="D123" s="1027" t="s">
        <v>736</v>
      </c>
      <c r="E123" s="638" t="s">
        <v>858</v>
      </c>
      <c r="F123" s="1017"/>
    </row>
    <row r="124" spans="1:6" s="635" customFormat="1">
      <c r="A124" s="1160"/>
      <c r="B124" s="1031" t="s">
        <v>735</v>
      </c>
      <c r="C124" s="1011"/>
      <c r="D124" s="1027" t="s">
        <v>1141</v>
      </c>
      <c r="E124" s="638" t="s">
        <v>858</v>
      </c>
      <c r="F124" s="1017"/>
    </row>
    <row r="125" spans="1:6" s="635" customFormat="1">
      <c r="A125" s="1161"/>
      <c r="B125" s="1031" t="s">
        <v>734</v>
      </c>
      <c r="C125" s="1011"/>
      <c r="D125" s="1027" t="s">
        <v>733</v>
      </c>
      <c r="E125" s="638" t="s">
        <v>858</v>
      </c>
      <c r="F125" s="1017"/>
    </row>
    <row r="126" spans="1:6" s="635" customFormat="1">
      <c r="A126" s="870"/>
      <c r="B126" s="1034"/>
      <c r="C126" s="1003"/>
      <c r="D126" s="1028"/>
      <c r="E126" s="639"/>
      <c r="F126" s="1000"/>
    </row>
    <row r="127" spans="1:6" s="635" customFormat="1" ht="14.45" customHeight="1">
      <c r="A127" s="1156" t="s">
        <v>986</v>
      </c>
      <c r="B127" s="1156"/>
      <c r="C127" s="1003"/>
      <c r="D127" s="1028"/>
      <c r="E127" s="639"/>
      <c r="F127" s="1000"/>
    </row>
    <row r="128" spans="1:6" s="635" customFormat="1" ht="30">
      <c r="A128" s="1149"/>
      <c r="B128" s="1019" t="s">
        <v>987</v>
      </c>
      <c r="C128" s="1011"/>
      <c r="D128" s="1027" t="s">
        <v>1099</v>
      </c>
      <c r="E128" s="638" t="s">
        <v>858</v>
      </c>
      <c r="F128" s="802"/>
    </row>
    <row r="129" spans="1:6" s="635" customFormat="1">
      <c r="A129" s="1150"/>
      <c r="B129" s="1031" t="s">
        <v>988</v>
      </c>
      <c r="C129" s="1011"/>
      <c r="D129" s="1027" t="s">
        <v>1100</v>
      </c>
      <c r="E129" s="638" t="s">
        <v>858</v>
      </c>
      <c r="F129" s="802"/>
    </row>
    <row r="130" spans="1:6" s="635" customFormat="1">
      <c r="A130" s="641"/>
      <c r="B130" s="1028"/>
      <c r="C130" s="1000"/>
      <c r="D130" s="1028"/>
      <c r="E130" s="639"/>
      <c r="F130" s="639"/>
    </row>
    <row r="131" spans="1:6" ht="26.25" customHeight="1">
      <c r="A131" s="1146"/>
      <c r="B131" s="1146"/>
      <c r="D131" s="1029"/>
    </row>
    <row r="132" spans="1:6">
      <c r="A132" s="1147" t="s">
        <v>732</v>
      </c>
      <c r="B132" s="1147"/>
      <c r="D132" s="1020" t="s">
        <v>731</v>
      </c>
    </row>
    <row r="133" spans="1:6" ht="26.25" customHeight="1">
      <c r="A133" s="991"/>
      <c r="B133" s="1035"/>
      <c r="D133" s="1029"/>
    </row>
    <row r="134" spans="1:6">
      <c r="A134" s="1147" t="s">
        <v>18</v>
      </c>
      <c r="B134" s="1147"/>
      <c r="D134" s="1020" t="s">
        <v>18</v>
      </c>
    </row>
  </sheetData>
  <mergeCells count="44">
    <mergeCell ref="A62:B62"/>
    <mergeCell ref="A118:B118"/>
    <mergeCell ref="A81:A83"/>
    <mergeCell ref="A63:A64"/>
    <mergeCell ref="A66:A67"/>
    <mergeCell ref="A87:A90"/>
    <mergeCell ref="A123:A125"/>
    <mergeCell ref="A100:B100"/>
    <mergeCell ref="A95:B95"/>
    <mergeCell ref="A101:A103"/>
    <mergeCell ref="A107:A108"/>
    <mergeCell ref="A113:A114"/>
    <mergeCell ref="A128:A129"/>
    <mergeCell ref="A127:B127"/>
    <mergeCell ref="A1:B1"/>
    <mergeCell ref="A2:B2"/>
    <mergeCell ref="A3:B3"/>
    <mergeCell ref="A4:B4"/>
    <mergeCell ref="A5:B5"/>
    <mergeCell ref="A6:B6"/>
    <mergeCell ref="A7:B7"/>
    <mergeCell ref="A8:B8"/>
    <mergeCell ref="A9:B9"/>
    <mergeCell ref="A10:B10"/>
    <mergeCell ref="A11:B11"/>
    <mergeCell ref="A58:A60"/>
    <mergeCell ref="A47:A49"/>
    <mergeCell ref="A46:B46"/>
    <mergeCell ref="A13:B13"/>
    <mergeCell ref="A14:B14"/>
    <mergeCell ref="A131:B131"/>
    <mergeCell ref="A132:B132"/>
    <mergeCell ref="A134:B134"/>
    <mergeCell ref="A51:B51"/>
    <mergeCell ref="A16:B16"/>
    <mergeCell ref="A19:A20"/>
    <mergeCell ref="A22:A33"/>
    <mergeCell ref="A36:A40"/>
    <mergeCell ref="A42:A44"/>
    <mergeCell ref="A52:A56"/>
    <mergeCell ref="A92:A93"/>
    <mergeCell ref="A75:A78"/>
    <mergeCell ref="A110:A111"/>
    <mergeCell ref="A69:A73"/>
  </mergeCells>
  <pageMargins left="0.5" right="0.5" top="0.5" bottom="0.5" header="0.3" footer="0.3"/>
  <pageSetup scale="74" fitToHeight="0" orientation="portrait" r:id="rId1"/>
  <headerFooter>
    <oddFooter>&amp;C&amp;P of &amp;N</oddFooter>
  </headerFooter>
  <rowBreaks count="2" manualBreakCount="2">
    <brk id="60" max="16383" man="1"/>
    <brk id="93" max="16383" man="1"/>
  </rowBreaks>
  <customProperties>
    <customPr name="_pios_id" r:id="rId2"/>
  </customPropertie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F131"/>
  <sheetViews>
    <sheetView zoomScale="80" zoomScaleNormal="80" workbookViewId="0">
      <pane ySplit="11" topLeftCell="A12" activePane="bottomLeft" state="frozen"/>
      <selection activeCell="E33" sqref="E33"/>
      <selection pane="bottomLeft" activeCell="E33" sqref="E33"/>
    </sheetView>
  </sheetViews>
  <sheetFormatPr defaultColWidth="9.140625" defaultRowHeight="12.75"/>
  <cols>
    <col min="1" max="1" width="9.140625" style="512"/>
    <col min="2" max="2" width="15.5703125" style="511" customWidth="1"/>
    <col min="3" max="3" width="15.42578125" style="511" bestFit="1" customWidth="1"/>
    <col min="4" max="4" width="17" style="511" customWidth="1"/>
    <col min="5" max="6" width="9.140625" style="511"/>
    <col min="7" max="7" width="7.42578125" style="511" bestFit="1" customWidth="1"/>
    <col min="8" max="8" width="10.5703125" style="511" bestFit="1" customWidth="1"/>
    <col min="9" max="9" width="8.28515625" style="511" bestFit="1" customWidth="1"/>
    <col min="10" max="10" width="11.85546875" style="511" bestFit="1" customWidth="1"/>
    <col min="11" max="11" width="11.5703125" style="511" bestFit="1" customWidth="1"/>
    <col min="12" max="12" width="10.85546875" style="511" bestFit="1" customWidth="1"/>
    <col min="13" max="13" width="13.28515625" style="511" bestFit="1" customWidth="1"/>
    <col min="14" max="14" width="9.140625" style="511"/>
    <col min="15" max="15" width="10.85546875" style="511" bestFit="1" customWidth="1"/>
    <col min="16" max="16" width="9.140625" style="511"/>
    <col min="17" max="17" width="11.5703125" style="511" bestFit="1" customWidth="1"/>
    <col min="18" max="16384" width="9.140625" style="511"/>
  </cols>
  <sheetData>
    <row r="1" spans="1:5">
      <c r="A1" s="512" t="s">
        <v>590</v>
      </c>
    </row>
    <row r="2" spans="1:5">
      <c r="A2" s="512" t="s">
        <v>589</v>
      </c>
    </row>
    <row r="4" spans="1:5">
      <c r="A4" s="519" t="s">
        <v>167</v>
      </c>
      <c r="B4" s="518" t="s">
        <v>588</v>
      </c>
      <c r="C4" s="518" t="s">
        <v>587</v>
      </c>
      <c r="D4" s="518" t="s">
        <v>586</v>
      </c>
    </row>
    <row r="5" spans="1:5">
      <c r="A5" s="512">
        <f>D.1!B12</f>
        <v>42125</v>
      </c>
      <c r="B5" s="513">
        <f>VLOOKUP(A5,$A$12:$D$129,2,FALSE)</f>
        <v>580395.68999999994</v>
      </c>
      <c r="C5" s="513">
        <f>VLOOKUP(A5,$A$12:$D$129,3,FALSE)</f>
        <v>265451.43</v>
      </c>
      <c r="D5" s="513">
        <f>B5-C5</f>
        <v>314944.25999999995</v>
      </c>
    </row>
    <row r="6" spans="1:5" ht="15" customHeight="1">
      <c r="A6" s="512">
        <f>D.1!B14</f>
        <v>42156</v>
      </c>
      <c r="B6" s="513">
        <f>VLOOKUP(A6,$A$12:$D$129,2,FALSE)</f>
        <v>593591.61</v>
      </c>
      <c r="C6" s="513">
        <f>VLOOKUP(A6,$A$12:$D$129,3,FALSE)</f>
        <v>269525.34000000003</v>
      </c>
      <c r="D6" s="513">
        <f>B6-C6</f>
        <v>324066.26999999996</v>
      </c>
    </row>
    <row r="7" spans="1:5" ht="15" customHeight="1">
      <c r="A7" s="512">
        <f>D.1!B16</f>
        <v>42186</v>
      </c>
      <c r="B7" s="513">
        <f>VLOOKUP(A7,$A$12:$D$129,2,FALSE)</f>
        <v>0</v>
      </c>
      <c r="C7" s="513">
        <f>VLOOKUP(A7,$A$12:$D$129,3,FALSE)</f>
        <v>0</v>
      </c>
      <c r="D7" s="513">
        <f>B7-C7</f>
        <v>0</v>
      </c>
    </row>
    <row r="8" spans="1:5" ht="15.75" customHeight="1" thickBot="1">
      <c r="A8" s="517" t="s">
        <v>245</v>
      </c>
      <c r="B8" s="516">
        <f>SUM(B5:B7)</f>
        <v>1173987.2999999998</v>
      </c>
      <c r="C8" s="516">
        <f>SUM(C5:C7)</f>
        <v>534976.77</v>
      </c>
      <c r="D8" s="516">
        <f>SUM(D5:D7)</f>
        <v>639010.52999999991</v>
      </c>
      <c r="E8" s="978" t="s">
        <v>1037</v>
      </c>
    </row>
    <row r="9" spans="1:5" ht="13.5" customHeight="1" thickTop="1"/>
    <row r="11" spans="1:5">
      <c r="A11" s="512" t="s">
        <v>167</v>
      </c>
      <c r="B11" s="511" t="s">
        <v>588</v>
      </c>
      <c r="C11" s="511" t="s">
        <v>587</v>
      </c>
      <c r="D11" s="511" t="s">
        <v>586</v>
      </c>
    </row>
    <row r="12" spans="1:5" hidden="1">
      <c r="A12" s="512">
        <v>38657</v>
      </c>
      <c r="B12" s="513">
        <v>86407.2</v>
      </c>
      <c r="C12" s="513">
        <v>25922.16</v>
      </c>
      <c r="D12" s="513">
        <v>60485.04</v>
      </c>
    </row>
    <row r="13" spans="1:5" hidden="1">
      <c r="A13" s="512">
        <v>38687</v>
      </c>
      <c r="B13" s="513">
        <v>202878.38</v>
      </c>
      <c r="C13" s="513">
        <v>60863.51</v>
      </c>
      <c r="D13" s="513">
        <v>142014.87</v>
      </c>
    </row>
    <row r="14" spans="1:5" hidden="1">
      <c r="A14" s="512">
        <v>38718</v>
      </c>
      <c r="B14" s="513">
        <v>214409.62</v>
      </c>
      <c r="C14" s="513">
        <v>64322.89</v>
      </c>
      <c r="D14" s="513">
        <v>150086.73000000001</v>
      </c>
    </row>
    <row r="15" spans="1:5" hidden="1">
      <c r="A15" s="512">
        <v>38749</v>
      </c>
      <c r="B15" s="513">
        <v>86412.84</v>
      </c>
      <c r="C15" s="513">
        <v>25923.85</v>
      </c>
      <c r="D15" s="513">
        <v>60488.99</v>
      </c>
    </row>
    <row r="16" spans="1:5" hidden="1">
      <c r="A16" s="512">
        <v>38777</v>
      </c>
      <c r="B16" s="513">
        <v>66377.440000000002</v>
      </c>
      <c r="C16" s="513">
        <v>19913.23</v>
      </c>
      <c r="D16" s="513">
        <v>46464.21</v>
      </c>
    </row>
    <row r="17" spans="1:5" hidden="1">
      <c r="A17" s="512">
        <v>38808</v>
      </c>
      <c r="B17" s="513">
        <v>361658.76</v>
      </c>
      <c r="C17" s="513">
        <v>108497.63</v>
      </c>
      <c r="D17" s="513">
        <v>253161.13</v>
      </c>
    </row>
    <row r="18" spans="1:5" hidden="1">
      <c r="A18" s="512">
        <v>38838</v>
      </c>
      <c r="B18" s="513">
        <v>306598.23</v>
      </c>
      <c r="C18" s="513">
        <v>91979.47</v>
      </c>
      <c r="D18" s="513">
        <v>214618.76</v>
      </c>
    </row>
    <row r="19" spans="1:5" hidden="1">
      <c r="A19" s="512">
        <v>38869</v>
      </c>
      <c r="B19" s="513">
        <v>268410.48</v>
      </c>
      <c r="C19" s="513">
        <v>80523.14</v>
      </c>
      <c r="D19" s="513">
        <v>187887.34</v>
      </c>
    </row>
    <row r="20" spans="1:5" hidden="1">
      <c r="A20" s="512">
        <v>38899</v>
      </c>
      <c r="B20" s="513">
        <v>270950.51</v>
      </c>
      <c r="C20" s="513">
        <v>81285.149999999994</v>
      </c>
      <c r="D20" s="513">
        <v>189665.36</v>
      </c>
    </row>
    <row r="21" spans="1:5" hidden="1">
      <c r="A21" s="512">
        <v>38930</v>
      </c>
      <c r="B21" s="513">
        <v>180927.4</v>
      </c>
      <c r="C21" s="513">
        <v>54278.22</v>
      </c>
      <c r="D21" s="513">
        <v>126649.18</v>
      </c>
    </row>
    <row r="22" spans="1:5" hidden="1">
      <c r="A22" s="512">
        <v>38961</v>
      </c>
      <c r="B22" s="513">
        <v>397200.42</v>
      </c>
      <c r="C22" s="513">
        <v>168315</v>
      </c>
      <c r="D22" s="513">
        <v>228885.42</v>
      </c>
    </row>
    <row r="23" spans="1:5" hidden="1">
      <c r="A23" s="512">
        <v>38991</v>
      </c>
      <c r="B23" s="513">
        <v>393699.26</v>
      </c>
      <c r="C23" s="513">
        <v>156047.45000000001</v>
      </c>
      <c r="D23" s="513">
        <v>237651.81</v>
      </c>
    </row>
    <row r="24" spans="1:5" hidden="1">
      <c r="A24" s="512">
        <v>39022</v>
      </c>
      <c r="B24" s="513">
        <v>400924.96</v>
      </c>
      <c r="C24" s="513">
        <v>174688.40568</v>
      </c>
      <c r="D24" s="513">
        <v>226236.55431999997</v>
      </c>
    </row>
    <row r="25" spans="1:5" hidden="1">
      <c r="A25" s="512">
        <v>39052</v>
      </c>
      <c r="B25" s="513">
        <v>405367.83</v>
      </c>
      <c r="C25" s="513">
        <v>163084.63</v>
      </c>
      <c r="D25" s="513">
        <v>242263.74032000001</v>
      </c>
    </row>
    <row r="26" spans="1:5" hidden="1">
      <c r="A26" s="512">
        <v>39083</v>
      </c>
      <c r="B26" s="513">
        <v>403793.1</v>
      </c>
      <c r="C26" s="513">
        <v>85230.240420000002</v>
      </c>
      <c r="D26" s="513">
        <v>318562.85957999999</v>
      </c>
    </row>
    <row r="27" spans="1:5" hidden="1">
      <c r="A27" s="512">
        <v>39114</v>
      </c>
      <c r="B27" s="513">
        <v>400141.71</v>
      </c>
      <c r="C27" s="513">
        <v>59453.534939999998</v>
      </c>
      <c r="D27" s="513">
        <v>340688.17506000004</v>
      </c>
    </row>
    <row r="28" spans="1:5" hidden="1">
      <c r="A28" s="512">
        <v>39142</v>
      </c>
      <c r="B28" s="513">
        <v>407119.86</v>
      </c>
      <c r="C28" s="513">
        <v>38159.218440000004</v>
      </c>
      <c r="D28" s="513">
        <v>368960.64156000002</v>
      </c>
    </row>
    <row r="29" spans="1:5" hidden="1">
      <c r="A29" s="512">
        <v>39173</v>
      </c>
      <c r="B29" s="513">
        <v>396339.87</v>
      </c>
      <c r="C29" s="513">
        <v>118901.961</v>
      </c>
      <c r="D29" s="513">
        <v>277437.90899999999</v>
      </c>
      <c r="E29" s="513"/>
    </row>
    <row r="30" spans="1:5" hidden="1">
      <c r="A30" s="512">
        <v>39203</v>
      </c>
      <c r="B30" s="513">
        <v>393725.13</v>
      </c>
      <c r="C30" s="513">
        <v>115406.57742000003</v>
      </c>
      <c r="D30" s="513">
        <f t="shared" ref="D30:D61" si="0">B30-C30</f>
        <v>278318.55257999996</v>
      </c>
    </row>
    <row r="31" spans="1:5" hidden="1">
      <c r="A31" s="512">
        <v>39234</v>
      </c>
      <c r="B31" s="513">
        <v>390451.75</v>
      </c>
      <c r="C31" s="513">
        <v>106915.71209999998</v>
      </c>
      <c r="D31" s="513">
        <f t="shared" si="0"/>
        <v>283536.0379</v>
      </c>
    </row>
    <row r="32" spans="1:5" hidden="1">
      <c r="A32" s="512">
        <v>39264</v>
      </c>
      <c r="B32" s="513">
        <v>389381.13</v>
      </c>
      <c r="C32" s="513">
        <v>94825.06</v>
      </c>
      <c r="D32" s="513">
        <f t="shared" si="0"/>
        <v>294556.07</v>
      </c>
    </row>
    <row r="33" spans="1:4" hidden="1">
      <c r="A33" s="512">
        <v>39295</v>
      </c>
      <c r="B33" s="513">
        <v>390038.22</v>
      </c>
      <c r="C33" s="513">
        <v>74808.990000000005</v>
      </c>
      <c r="D33" s="513">
        <f t="shared" si="0"/>
        <v>315229.23</v>
      </c>
    </row>
    <row r="34" spans="1:4" hidden="1">
      <c r="A34" s="512">
        <v>39326</v>
      </c>
      <c r="B34" s="513">
        <v>390307.21</v>
      </c>
      <c r="C34" s="513">
        <v>70332.38</v>
      </c>
      <c r="D34" s="513">
        <f t="shared" si="0"/>
        <v>319974.83</v>
      </c>
    </row>
    <row r="35" spans="1:4" hidden="1">
      <c r="A35" s="512">
        <v>39356</v>
      </c>
      <c r="B35" s="513">
        <f>393115.85+541654.85</f>
        <v>934770.7</v>
      </c>
      <c r="C35" s="513">
        <v>90185.76</v>
      </c>
      <c r="D35" s="513">
        <f t="shared" si="0"/>
        <v>844584.94</v>
      </c>
    </row>
    <row r="36" spans="1:4" hidden="1">
      <c r="A36" s="512">
        <v>39387</v>
      </c>
      <c r="B36" s="513">
        <v>398278.87</v>
      </c>
      <c r="C36" s="513">
        <v>119483.66</v>
      </c>
      <c r="D36" s="513">
        <f t="shared" si="0"/>
        <v>278795.20999999996</v>
      </c>
    </row>
    <row r="37" spans="1:4" hidden="1">
      <c r="A37" s="512">
        <v>39417</v>
      </c>
      <c r="B37" s="513">
        <v>404015.51</v>
      </c>
      <c r="C37" s="513">
        <v>121204.65</v>
      </c>
      <c r="D37" s="513">
        <f t="shared" si="0"/>
        <v>282810.86</v>
      </c>
    </row>
    <row r="38" spans="1:4" hidden="1">
      <c r="A38" s="512">
        <v>39448</v>
      </c>
      <c r="B38" s="513">
        <f>405616.42</f>
        <v>405616.42</v>
      </c>
      <c r="C38" s="513">
        <v>121684.93</v>
      </c>
      <c r="D38" s="513">
        <f t="shared" si="0"/>
        <v>283931.49</v>
      </c>
    </row>
    <row r="39" spans="1:4" hidden="1">
      <c r="A39" s="512">
        <v>39479</v>
      </c>
      <c r="B39" s="513">
        <v>400515.83</v>
      </c>
      <c r="C39" s="513">
        <v>120154.75</v>
      </c>
      <c r="D39" s="513">
        <f t="shared" si="0"/>
        <v>280361.08</v>
      </c>
    </row>
    <row r="40" spans="1:4" hidden="1">
      <c r="A40" s="512">
        <v>39508</v>
      </c>
      <c r="B40" s="513">
        <v>400646.58</v>
      </c>
      <c r="C40" s="513">
        <v>120193.97</v>
      </c>
      <c r="D40" s="513">
        <f t="shared" si="0"/>
        <v>280452.61</v>
      </c>
    </row>
    <row r="41" spans="1:4" hidden="1">
      <c r="A41" s="512">
        <v>39539</v>
      </c>
      <c r="B41" s="513">
        <v>389220.61</v>
      </c>
      <c r="C41" s="513">
        <v>116766.18</v>
      </c>
      <c r="D41" s="513">
        <f t="shared" si="0"/>
        <v>272454.43</v>
      </c>
    </row>
    <row r="42" spans="1:4" hidden="1">
      <c r="A42" s="512">
        <v>39569</v>
      </c>
      <c r="B42" s="513">
        <v>387407.75</v>
      </c>
      <c r="C42" s="513">
        <v>116222.33</v>
      </c>
      <c r="D42" s="513">
        <f t="shared" si="0"/>
        <v>271185.42</v>
      </c>
    </row>
    <row r="43" spans="1:4" hidden="1">
      <c r="A43" s="512">
        <v>39600</v>
      </c>
      <c r="B43" s="513">
        <v>384900.94</v>
      </c>
      <c r="C43" s="513">
        <v>115470.28</v>
      </c>
      <c r="D43" s="513">
        <f t="shared" si="0"/>
        <v>269430.66000000003</v>
      </c>
    </row>
    <row r="44" spans="1:4" hidden="1">
      <c r="A44" s="512">
        <v>39630</v>
      </c>
      <c r="B44" s="513">
        <v>381486.79</v>
      </c>
      <c r="C44" s="513">
        <v>114446.04</v>
      </c>
      <c r="D44" s="513">
        <f t="shared" si="0"/>
        <v>267040.75</v>
      </c>
    </row>
    <row r="45" spans="1:4" hidden="1">
      <c r="A45" s="512">
        <v>39661</v>
      </c>
      <c r="B45" s="513">
        <v>424448.37</v>
      </c>
      <c r="C45" s="513">
        <v>127334.51</v>
      </c>
      <c r="D45" s="513">
        <f t="shared" si="0"/>
        <v>297113.86</v>
      </c>
    </row>
    <row r="46" spans="1:4" hidden="1">
      <c r="A46" s="512">
        <v>39692</v>
      </c>
      <c r="B46" s="513">
        <v>383468.04</v>
      </c>
      <c r="C46" s="513">
        <v>115040.41</v>
      </c>
      <c r="D46" s="513">
        <f t="shared" si="0"/>
        <v>268427.63</v>
      </c>
    </row>
    <row r="47" spans="1:4" hidden="1">
      <c r="A47" s="512">
        <v>39722</v>
      </c>
      <c r="B47" s="513">
        <v>388624.68</v>
      </c>
      <c r="C47" s="513">
        <v>116587.4</v>
      </c>
      <c r="D47" s="513">
        <f t="shared" si="0"/>
        <v>272037.28000000003</v>
      </c>
    </row>
    <row r="48" spans="1:4" hidden="1">
      <c r="A48" s="512">
        <v>39753</v>
      </c>
      <c r="B48" s="513">
        <v>421597.99</v>
      </c>
      <c r="C48" s="513">
        <v>126479.4</v>
      </c>
      <c r="D48" s="513">
        <f t="shared" si="0"/>
        <v>295118.58999999997</v>
      </c>
    </row>
    <row r="49" spans="1:6" hidden="1">
      <c r="A49" s="512">
        <v>39783</v>
      </c>
      <c r="B49" s="513">
        <v>423807.8</v>
      </c>
      <c r="C49" s="513">
        <v>127142.34</v>
      </c>
      <c r="D49" s="513">
        <f t="shared" si="0"/>
        <v>296665.45999999996</v>
      </c>
    </row>
    <row r="50" spans="1:6" hidden="1">
      <c r="A50" s="512">
        <v>39814</v>
      </c>
      <c r="B50" s="513">
        <v>423324.17</v>
      </c>
      <c r="C50" s="513">
        <v>126997.25</v>
      </c>
      <c r="D50" s="513">
        <f t="shared" si="0"/>
        <v>296326.92</v>
      </c>
    </row>
    <row r="51" spans="1:6" hidden="1">
      <c r="A51" s="512">
        <v>39845</v>
      </c>
      <c r="B51" s="513">
        <v>417178.54</v>
      </c>
      <c r="C51" s="513">
        <v>125153.56</v>
      </c>
      <c r="D51" s="513">
        <f t="shared" si="0"/>
        <v>292024.98</v>
      </c>
    </row>
    <row r="52" spans="1:6" hidden="1">
      <c r="A52" s="512">
        <v>39873</v>
      </c>
      <c r="B52" s="513">
        <v>423282.77</v>
      </c>
      <c r="C52" s="513">
        <v>126984.83</v>
      </c>
      <c r="D52" s="513">
        <f t="shared" si="0"/>
        <v>296297.94</v>
      </c>
    </row>
    <row r="53" spans="1:6" hidden="1">
      <c r="A53" s="512">
        <v>39904</v>
      </c>
      <c r="B53" s="513">
        <v>412676.43</v>
      </c>
      <c r="C53" s="513">
        <v>123802.93</v>
      </c>
      <c r="D53" s="513">
        <f t="shared" si="0"/>
        <v>288873.5</v>
      </c>
    </row>
    <row r="54" spans="1:6" hidden="1">
      <c r="A54" s="512">
        <v>39934</v>
      </c>
      <c r="B54" s="513">
        <v>405841.62</v>
      </c>
      <c r="C54" s="513">
        <v>121752.49</v>
      </c>
      <c r="D54" s="513">
        <f t="shared" si="0"/>
        <v>284089.13</v>
      </c>
      <c r="E54" s="513"/>
    </row>
    <row r="55" spans="1:6" hidden="1">
      <c r="A55" s="512">
        <v>39965</v>
      </c>
      <c r="B55" s="513">
        <v>404052.87</v>
      </c>
      <c r="C55" s="513">
        <v>121215.86</v>
      </c>
      <c r="D55" s="513">
        <f t="shared" si="0"/>
        <v>282837.01</v>
      </c>
      <c r="F55" s="513"/>
    </row>
    <row r="56" spans="1:6" hidden="1">
      <c r="A56" s="512">
        <v>39995</v>
      </c>
      <c r="B56" s="513">
        <v>405764.63</v>
      </c>
      <c r="C56" s="513">
        <v>121729.39</v>
      </c>
      <c r="D56" s="513">
        <f t="shared" si="0"/>
        <v>284035.24</v>
      </c>
      <c r="F56" s="513"/>
    </row>
    <row r="57" spans="1:6" hidden="1">
      <c r="A57" s="512">
        <v>40026</v>
      </c>
      <c r="B57" s="513">
        <v>405850.52</v>
      </c>
      <c r="C57" s="513">
        <v>121755.16</v>
      </c>
      <c r="D57" s="513">
        <f t="shared" si="0"/>
        <v>284095.35999999999</v>
      </c>
    </row>
    <row r="58" spans="1:6" hidden="1">
      <c r="A58" s="512">
        <v>40057</v>
      </c>
      <c r="B58" s="513">
        <v>404118.43</v>
      </c>
      <c r="C58" s="513">
        <v>121235.53</v>
      </c>
      <c r="D58" s="513">
        <f t="shared" si="0"/>
        <v>282882.90000000002</v>
      </c>
    </row>
    <row r="59" spans="1:6" hidden="1">
      <c r="A59" s="512">
        <v>40087</v>
      </c>
      <c r="B59" s="513">
        <v>416294.69</v>
      </c>
      <c r="C59" s="513">
        <v>124888.41</v>
      </c>
      <c r="D59" s="513">
        <f t="shared" si="0"/>
        <v>291406.28000000003</v>
      </c>
    </row>
    <row r="60" spans="1:6" hidden="1">
      <c r="A60" s="512">
        <v>40118</v>
      </c>
      <c r="B60" s="513">
        <v>420980.92</v>
      </c>
      <c r="C60" s="513">
        <v>126294.28</v>
      </c>
      <c r="D60" s="513">
        <f t="shared" si="0"/>
        <v>294686.64</v>
      </c>
    </row>
    <row r="61" spans="1:6" hidden="1">
      <c r="A61" s="512">
        <v>40148</v>
      </c>
      <c r="B61" s="513">
        <v>423325.68</v>
      </c>
      <c r="C61" s="513">
        <v>126997.7</v>
      </c>
      <c r="D61" s="513">
        <f t="shared" si="0"/>
        <v>296327.98</v>
      </c>
    </row>
    <row r="62" spans="1:6" hidden="1">
      <c r="A62" s="512">
        <v>40179</v>
      </c>
      <c r="B62" s="513">
        <v>423559.42</v>
      </c>
      <c r="C62" s="513">
        <v>127067.83</v>
      </c>
      <c r="D62" s="513">
        <f t="shared" ref="D62:D127" si="1">B62-C62</f>
        <v>296491.58999999997</v>
      </c>
    </row>
    <row r="63" spans="1:6" hidden="1">
      <c r="A63" s="512">
        <v>40210</v>
      </c>
      <c r="B63" s="513">
        <v>416124.37</v>
      </c>
      <c r="C63" s="513">
        <v>124837.31</v>
      </c>
      <c r="D63" s="513">
        <f t="shared" si="1"/>
        <v>291287.06</v>
      </c>
    </row>
    <row r="64" spans="1:6" hidden="1">
      <c r="A64" s="512">
        <v>40238</v>
      </c>
      <c r="B64" s="513">
        <v>423136.53</v>
      </c>
      <c r="C64" s="513">
        <v>126940.96</v>
      </c>
      <c r="D64" s="513">
        <f t="shared" si="1"/>
        <v>296195.57</v>
      </c>
    </row>
    <row r="65" spans="1:4" hidden="1">
      <c r="A65" s="512">
        <v>40269</v>
      </c>
      <c r="B65" s="513">
        <v>412512.52</v>
      </c>
      <c r="C65" s="513">
        <v>123753.76</v>
      </c>
      <c r="D65" s="513">
        <f t="shared" si="1"/>
        <v>288758.76</v>
      </c>
    </row>
    <row r="66" spans="1:4" hidden="1">
      <c r="A66" s="512">
        <v>40299</v>
      </c>
      <c r="B66" s="513">
        <v>405834.21</v>
      </c>
      <c r="C66" s="513">
        <v>121750.26</v>
      </c>
      <c r="D66" s="513">
        <f t="shared" si="1"/>
        <v>284083.95</v>
      </c>
    </row>
    <row r="67" spans="1:4" hidden="1">
      <c r="A67" s="512">
        <v>40330</v>
      </c>
      <c r="B67" s="513">
        <v>404034.65</v>
      </c>
      <c r="C67" s="513">
        <v>121210.4</v>
      </c>
      <c r="D67" s="513">
        <f t="shared" si="1"/>
        <v>282824.25</v>
      </c>
    </row>
    <row r="68" spans="1:4" hidden="1">
      <c r="A68" s="512">
        <v>40360</v>
      </c>
      <c r="B68" s="513">
        <v>405757.99</v>
      </c>
      <c r="C68" s="513">
        <v>121727.4</v>
      </c>
      <c r="D68" s="513">
        <f t="shared" si="1"/>
        <v>284030.58999999997</v>
      </c>
    </row>
    <row r="69" spans="1:4" hidden="1">
      <c r="A69" s="512">
        <v>40391</v>
      </c>
      <c r="B69" s="513">
        <v>405824.88</v>
      </c>
      <c r="C69" s="513">
        <v>121747.46</v>
      </c>
      <c r="D69" s="513">
        <f t="shared" si="1"/>
        <v>284077.42</v>
      </c>
    </row>
    <row r="70" spans="1:4" hidden="1">
      <c r="A70" s="512">
        <v>40422</v>
      </c>
      <c r="B70" s="513">
        <v>403671.8</v>
      </c>
      <c r="C70" s="513">
        <v>121101.54</v>
      </c>
      <c r="D70" s="513">
        <f t="shared" si="1"/>
        <v>282570.26</v>
      </c>
    </row>
    <row r="71" spans="1:4" hidden="1">
      <c r="A71" s="512">
        <v>40452</v>
      </c>
      <c r="B71" s="513">
        <v>416111.05</v>
      </c>
      <c r="C71" s="513">
        <v>124833.32</v>
      </c>
      <c r="D71" s="513">
        <f t="shared" si="1"/>
        <v>291277.73</v>
      </c>
    </row>
    <row r="72" spans="1:4" hidden="1">
      <c r="A72" s="512">
        <v>40483</v>
      </c>
      <c r="B72" s="513">
        <v>426836.26</v>
      </c>
      <c r="C72" s="513">
        <v>128050.88</v>
      </c>
      <c r="D72" s="513">
        <f t="shared" si="1"/>
        <v>298785.38</v>
      </c>
    </row>
    <row r="73" spans="1:4" hidden="1">
      <c r="A73" s="512">
        <v>40513</v>
      </c>
      <c r="B73" s="513">
        <v>428814.28</v>
      </c>
      <c r="C73" s="513">
        <v>128644.28</v>
      </c>
      <c r="D73" s="513">
        <f t="shared" si="1"/>
        <v>300170</v>
      </c>
    </row>
    <row r="74" spans="1:4" hidden="1">
      <c r="A74" s="512">
        <v>40544</v>
      </c>
      <c r="B74" s="513">
        <v>427323.3</v>
      </c>
      <c r="C74" s="513">
        <v>128196.98999999999</v>
      </c>
      <c r="D74" s="513">
        <f t="shared" si="1"/>
        <v>299126.31</v>
      </c>
    </row>
    <row r="75" spans="1:4" hidden="1">
      <c r="A75" s="512">
        <v>40575</v>
      </c>
      <c r="B75" s="513">
        <v>428215.88</v>
      </c>
      <c r="C75" s="513">
        <v>128464.76</v>
      </c>
      <c r="D75" s="513">
        <f t="shared" si="1"/>
        <v>299751.12</v>
      </c>
    </row>
    <row r="76" spans="1:4" hidden="1">
      <c r="A76" s="512">
        <v>40603</v>
      </c>
      <c r="B76" s="513">
        <v>437250.39</v>
      </c>
      <c r="C76" s="513">
        <v>131175.12</v>
      </c>
      <c r="D76" s="513">
        <f t="shared" si="1"/>
        <v>306075.27</v>
      </c>
    </row>
    <row r="77" spans="1:4" hidden="1">
      <c r="A77" s="512">
        <v>40634</v>
      </c>
      <c r="B77" s="513">
        <v>425857.82</v>
      </c>
      <c r="C77" s="513">
        <v>127757.35</v>
      </c>
      <c r="D77" s="513">
        <f t="shared" si="1"/>
        <v>298100.46999999997</v>
      </c>
    </row>
    <row r="78" spans="1:4" hidden="1">
      <c r="A78" s="512">
        <v>40664</v>
      </c>
      <c r="B78" s="513">
        <v>411092.9</v>
      </c>
      <c r="C78" s="513">
        <v>123327.87</v>
      </c>
      <c r="D78" s="513">
        <f t="shared" si="1"/>
        <v>287765.03000000003</v>
      </c>
    </row>
    <row r="79" spans="1:4" hidden="1">
      <c r="A79" s="512">
        <v>40695</v>
      </c>
      <c r="B79" s="513">
        <v>408954.81</v>
      </c>
      <c r="C79" s="513">
        <v>122686.44</v>
      </c>
      <c r="D79" s="513">
        <f>B79-C79</f>
        <v>286268.37</v>
      </c>
    </row>
    <row r="80" spans="1:4" hidden="1">
      <c r="A80" s="512">
        <v>40725</v>
      </c>
      <c r="B80" s="513">
        <v>426755.36</v>
      </c>
      <c r="C80" s="513">
        <v>128026.61</v>
      </c>
      <c r="D80" s="513">
        <f t="shared" si="1"/>
        <v>298728.75</v>
      </c>
    </row>
    <row r="81" spans="1:4" hidden="1">
      <c r="A81" s="512">
        <v>40756</v>
      </c>
      <c r="B81" s="513">
        <v>414996.35</v>
      </c>
      <c r="C81" s="513">
        <v>124498.9</v>
      </c>
      <c r="D81" s="513">
        <f t="shared" si="1"/>
        <v>290497.44999999995</v>
      </c>
    </row>
    <row r="82" spans="1:4" hidden="1">
      <c r="A82" s="512">
        <v>40787</v>
      </c>
      <c r="B82" s="513">
        <v>417962.46</v>
      </c>
      <c r="C82" s="513">
        <v>125388.74</v>
      </c>
      <c r="D82" s="513">
        <f t="shared" si="1"/>
        <v>292573.72000000003</v>
      </c>
    </row>
    <row r="83" spans="1:4" hidden="1">
      <c r="A83" s="512">
        <v>40817</v>
      </c>
      <c r="B83" s="513">
        <v>433377.89</v>
      </c>
      <c r="C83" s="513">
        <v>130013.37</v>
      </c>
      <c r="D83" s="513">
        <f t="shared" si="1"/>
        <v>303364.52</v>
      </c>
    </row>
    <row r="84" spans="1:4" hidden="1">
      <c r="A84" s="512">
        <v>40848</v>
      </c>
      <c r="B84" s="513">
        <v>464068.89</v>
      </c>
      <c r="C84" s="513">
        <v>210380.67</v>
      </c>
      <c r="D84" s="513">
        <f t="shared" si="1"/>
        <v>253688.22</v>
      </c>
    </row>
    <row r="85" spans="1:4" hidden="1">
      <c r="A85" s="512">
        <v>40878</v>
      </c>
      <c r="B85" s="513">
        <v>470303.76</v>
      </c>
      <c r="C85" s="513">
        <v>212175.68</v>
      </c>
      <c r="D85" s="513">
        <f t="shared" si="1"/>
        <v>258128.08000000002</v>
      </c>
    </row>
    <row r="86" spans="1:4" hidden="1">
      <c r="A86" s="512">
        <v>40909</v>
      </c>
      <c r="B86" s="513">
        <v>486243.33</v>
      </c>
      <c r="C86" s="513">
        <v>214860.76</v>
      </c>
      <c r="D86" s="513">
        <f t="shared" si="1"/>
        <v>271382.57</v>
      </c>
    </row>
    <row r="87" spans="1:4" hidden="1">
      <c r="A87" s="512">
        <v>40940</v>
      </c>
      <c r="B87" s="513">
        <v>385214.96</v>
      </c>
      <c r="C87" s="513">
        <v>178709.02</v>
      </c>
      <c r="D87" s="513">
        <f t="shared" si="1"/>
        <v>206505.94000000003</v>
      </c>
    </row>
    <row r="88" spans="1:4" hidden="1">
      <c r="A88" s="512">
        <v>40969</v>
      </c>
      <c r="B88" s="513">
        <v>317019.64647599997</v>
      </c>
      <c r="C88" s="513">
        <v>148634.59963031998</v>
      </c>
      <c r="D88" s="513">
        <f t="shared" si="1"/>
        <v>168385.04684567999</v>
      </c>
    </row>
    <row r="89" spans="1:4" hidden="1">
      <c r="A89" s="512">
        <v>41000</v>
      </c>
      <c r="B89" s="513">
        <v>415521.63800000004</v>
      </c>
      <c r="C89" s="513">
        <v>190938.62301087999</v>
      </c>
      <c r="D89" s="513">
        <f t="shared" si="1"/>
        <v>224583.01498912004</v>
      </c>
    </row>
    <row r="90" spans="1:4" hidden="1">
      <c r="A90" s="512">
        <v>41030</v>
      </c>
      <c r="B90" s="513">
        <v>425156.21772000002</v>
      </c>
      <c r="C90" s="513">
        <v>193815.76717055999</v>
      </c>
      <c r="D90" s="513">
        <f t="shared" si="1"/>
        <v>231340.45054944002</v>
      </c>
    </row>
    <row r="91" spans="1:4" hidden="1">
      <c r="A91" s="512">
        <v>41061</v>
      </c>
      <c r="B91" s="513">
        <v>527529.66700000002</v>
      </c>
      <c r="C91" s="513">
        <v>239557.7588028</v>
      </c>
      <c r="D91" s="513">
        <f t="shared" si="1"/>
        <v>287971.90819720004</v>
      </c>
    </row>
    <row r="92" spans="1:4" hidden="1">
      <c r="A92" s="512">
        <v>41091</v>
      </c>
      <c r="B92" s="513">
        <v>492263.68436800002</v>
      </c>
      <c r="C92" s="513">
        <v>221016.151840312</v>
      </c>
      <c r="D92" s="513">
        <f t="shared" si="1"/>
        <v>271247.53252768802</v>
      </c>
    </row>
    <row r="93" spans="1:4" hidden="1">
      <c r="A93" s="512">
        <v>41122</v>
      </c>
      <c r="B93" s="513">
        <v>489532.36259999999</v>
      </c>
      <c r="C93" s="513">
        <v>217722.46137759998</v>
      </c>
      <c r="D93" s="513">
        <f t="shared" si="1"/>
        <v>271809.90122240002</v>
      </c>
    </row>
    <row r="94" spans="1:4" hidden="1">
      <c r="A94" s="512">
        <v>41153</v>
      </c>
      <c r="B94" s="513">
        <v>529326.881269</v>
      </c>
      <c r="C94" s="513">
        <v>238290.80594102002</v>
      </c>
      <c r="D94" s="513">
        <f t="shared" si="1"/>
        <v>291036.07532797998</v>
      </c>
    </row>
    <row r="95" spans="1:4" hidden="1">
      <c r="A95" s="512">
        <v>41183</v>
      </c>
      <c r="B95" s="513">
        <v>621407.2472000001</v>
      </c>
      <c r="C95" s="513">
        <v>274917.82190200005</v>
      </c>
      <c r="D95" s="513">
        <f t="shared" si="1"/>
        <v>346489.42529800005</v>
      </c>
    </row>
    <row r="96" spans="1:4" hidden="1">
      <c r="A96" s="512">
        <v>41214</v>
      </c>
      <c r="B96" s="513">
        <v>420772.92</v>
      </c>
      <c r="C96" s="513">
        <v>190223.6</v>
      </c>
      <c r="D96" s="513">
        <f t="shared" si="1"/>
        <v>230549.31999999998</v>
      </c>
    </row>
    <row r="97" spans="1:4" hidden="1">
      <c r="A97" s="512">
        <v>41244</v>
      </c>
      <c r="B97" s="513">
        <v>463027.74</v>
      </c>
      <c r="C97" s="513">
        <v>207803.72</v>
      </c>
      <c r="D97" s="513">
        <f t="shared" si="1"/>
        <v>255224.02</v>
      </c>
    </row>
    <row r="98" spans="1:4" hidden="1">
      <c r="A98" s="512">
        <v>41275</v>
      </c>
      <c r="B98" s="513">
        <v>430930.93</v>
      </c>
      <c r="C98" s="513">
        <v>196037.21</v>
      </c>
      <c r="D98" s="513">
        <f t="shared" si="1"/>
        <v>234893.72</v>
      </c>
    </row>
    <row r="99" spans="1:4" hidden="1">
      <c r="A99" s="512">
        <v>41306</v>
      </c>
      <c r="B99" s="513">
        <v>441730.32289999991</v>
      </c>
      <c r="C99" s="513">
        <v>201589.69491519994</v>
      </c>
      <c r="D99" s="513">
        <f t="shared" si="1"/>
        <v>240140.62798479997</v>
      </c>
    </row>
    <row r="100" spans="1:4" hidden="1">
      <c r="A100" s="512">
        <v>41334</v>
      </c>
      <c r="B100" s="513">
        <v>332382.58629999997</v>
      </c>
      <c r="C100" s="513">
        <v>150563.88983799997</v>
      </c>
      <c r="D100" s="513">
        <f t="shared" si="1"/>
        <v>181818.69646199999</v>
      </c>
    </row>
    <row r="101" spans="1:4" hidden="1">
      <c r="A101" s="512">
        <v>41365</v>
      </c>
      <c r="B101" s="513">
        <v>684360.26979999989</v>
      </c>
      <c r="C101" s="513">
        <v>290795.39754519996</v>
      </c>
      <c r="D101" s="513">
        <f t="shared" si="1"/>
        <v>393564.87225479994</v>
      </c>
    </row>
    <row r="102" spans="1:4" hidden="1">
      <c r="A102" s="512">
        <v>41395</v>
      </c>
      <c r="B102" s="513">
        <v>580517.41</v>
      </c>
      <c r="C102" s="513">
        <v>247896.04</v>
      </c>
      <c r="D102" s="513">
        <f t="shared" si="1"/>
        <v>332621.37</v>
      </c>
    </row>
    <row r="103" spans="1:4" hidden="1">
      <c r="A103" s="512">
        <v>41426</v>
      </c>
      <c r="B103" s="513">
        <v>568473.62</v>
      </c>
      <c r="C103" s="513">
        <v>243363.4</v>
      </c>
      <c r="D103" s="513">
        <f t="shared" si="1"/>
        <v>325110.21999999997</v>
      </c>
    </row>
    <row r="104" spans="1:4" hidden="1">
      <c r="A104" s="512">
        <v>41456</v>
      </c>
      <c r="B104" s="513">
        <v>562198.58799999999</v>
      </c>
      <c r="C104" s="513">
        <v>244152.30420439999</v>
      </c>
      <c r="D104" s="513">
        <f t="shared" si="1"/>
        <v>318046.2837956</v>
      </c>
    </row>
    <row r="105" spans="1:4" hidden="1">
      <c r="A105" s="512">
        <v>41487</v>
      </c>
      <c r="B105" s="513">
        <v>560754.62</v>
      </c>
      <c r="C105" s="513">
        <v>245753.91</v>
      </c>
      <c r="D105" s="513">
        <f t="shared" si="1"/>
        <v>315000.70999999996</v>
      </c>
    </row>
    <row r="106" spans="1:4" hidden="1">
      <c r="A106" s="512">
        <v>41518</v>
      </c>
      <c r="B106" s="513">
        <v>538390.31000000006</v>
      </c>
      <c r="C106" s="513">
        <v>233362.77</v>
      </c>
      <c r="D106" s="513">
        <f t="shared" si="1"/>
        <v>305027.54000000004</v>
      </c>
    </row>
    <row r="107" spans="1:4" hidden="1">
      <c r="A107" s="512">
        <v>41548</v>
      </c>
      <c r="B107" s="513">
        <v>584911.01</v>
      </c>
      <c r="C107" s="513">
        <v>248329.25</v>
      </c>
      <c r="D107" s="513">
        <f t="shared" si="1"/>
        <v>336581.76</v>
      </c>
    </row>
    <row r="108" spans="1:4" hidden="1">
      <c r="A108" s="512">
        <v>41579</v>
      </c>
      <c r="B108" s="513">
        <v>396292.97</v>
      </c>
      <c r="C108" s="513">
        <v>176318.83</v>
      </c>
      <c r="D108" s="513">
        <f t="shared" si="1"/>
        <v>219974.13999999998</v>
      </c>
    </row>
    <row r="109" spans="1:4" hidden="1">
      <c r="A109" s="512">
        <v>41609</v>
      </c>
      <c r="B109" s="513">
        <v>436457.31</v>
      </c>
      <c r="C109" s="513">
        <v>187036.35</v>
      </c>
      <c r="D109" s="513">
        <f t="shared" si="1"/>
        <v>249420.96</v>
      </c>
    </row>
    <row r="110" spans="1:4" hidden="1">
      <c r="A110" s="512">
        <v>41640</v>
      </c>
      <c r="B110" s="513">
        <v>478767.99</v>
      </c>
      <c r="C110" s="513">
        <v>194956.02</v>
      </c>
      <c r="D110" s="513">
        <f t="shared" si="1"/>
        <v>283811.96999999997</v>
      </c>
    </row>
    <row r="111" spans="1:4" hidden="1">
      <c r="A111" s="512">
        <v>41671</v>
      </c>
      <c r="B111" s="513">
        <v>558490.9</v>
      </c>
      <c r="C111" s="513">
        <v>221909.26</v>
      </c>
      <c r="D111" s="513">
        <f t="shared" si="1"/>
        <v>336581.64</v>
      </c>
    </row>
    <row r="112" spans="1:4" hidden="1">
      <c r="A112" s="512">
        <v>41699</v>
      </c>
      <c r="B112" s="513">
        <v>351160.46</v>
      </c>
      <c r="C112" s="513">
        <v>142209.69</v>
      </c>
      <c r="D112" s="513">
        <f t="shared" si="1"/>
        <v>208950.77000000002</v>
      </c>
    </row>
    <row r="113" spans="1:4" hidden="1">
      <c r="A113" s="512">
        <v>41730</v>
      </c>
      <c r="B113" s="513">
        <v>705622.19</v>
      </c>
      <c r="C113" s="513">
        <v>297803.46999999997</v>
      </c>
      <c r="D113" s="513">
        <f t="shared" si="1"/>
        <v>407818.72</v>
      </c>
    </row>
    <row r="114" spans="1:4" hidden="1">
      <c r="A114" s="512">
        <v>41760</v>
      </c>
      <c r="B114" s="513">
        <v>561508.71</v>
      </c>
      <c r="C114" s="513">
        <v>23754.19</v>
      </c>
      <c r="D114" s="513">
        <f t="shared" si="1"/>
        <v>537754.52</v>
      </c>
    </row>
    <row r="115" spans="1:4">
      <c r="A115" s="512">
        <v>41791</v>
      </c>
      <c r="B115" s="513">
        <v>559575.06999999995</v>
      </c>
      <c r="C115" s="513">
        <v>237518.94</v>
      </c>
      <c r="D115" s="513">
        <f t="shared" si="1"/>
        <v>322056.12999999995</v>
      </c>
    </row>
    <row r="116" spans="1:4">
      <c r="A116" s="512">
        <v>41821</v>
      </c>
      <c r="B116" s="513">
        <v>550946.56000000006</v>
      </c>
      <c r="C116" s="513">
        <v>235907.68</v>
      </c>
      <c r="D116" s="513">
        <f t="shared" si="1"/>
        <v>315038.88000000006</v>
      </c>
    </row>
    <row r="117" spans="1:4">
      <c r="A117" s="512">
        <v>41852</v>
      </c>
      <c r="B117" s="513">
        <v>547763.30000000005</v>
      </c>
      <c r="C117" s="513">
        <v>239012.43</v>
      </c>
      <c r="D117" s="513">
        <f t="shared" si="1"/>
        <v>308750.87000000005</v>
      </c>
    </row>
    <row r="118" spans="1:4">
      <c r="A118" s="512">
        <v>41883</v>
      </c>
      <c r="B118" s="513">
        <v>549815.22</v>
      </c>
      <c r="C118" s="513">
        <v>238281.88</v>
      </c>
      <c r="D118" s="513">
        <f t="shared" si="1"/>
        <v>311533.33999999997</v>
      </c>
    </row>
    <row r="119" spans="1:4">
      <c r="A119" s="512">
        <v>41913</v>
      </c>
      <c r="B119" s="513">
        <v>623623.14</v>
      </c>
      <c r="C119" s="513">
        <v>267612.03000000003</v>
      </c>
      <c r="D119" s="513">
        <f t="shared" si="1"/>
        <v>356011.11</v>
      </c>
    </row>
    <row r="120" spans="1:4">
      <c r="A120" s="512">
        <v>41944</v>
      </c>
      <c r="B120" s="513">
        <v>460272.39</v>
      </c>
      <c r="C120" s="513">
        <v>192416.45</v>
      </c>
      <c r="D120" s="513">
        <f t="shared" si="1"/>
        <v>267855.94</v>
      </c>
    </row>
    <row r="121" spans="1:4">
      <c r="A121" s="512">
        <v>41974</v>
      </c>
      <c r="B121" s="513">
        <v>590172.07999999996</v>
      </c>
      <c r="C121" s="513">
        <v>259088.16</v>
      </c>
      <c r="D121" s="513">
        <f t="shared" si="1"/>
        <v>331083.91999999993</v>
      </c>
    </row>
    <row r="122" spans="1:4">
      <c r="A122" s="512">
        <v>42005</v>
      </c>
      <c r="B122" s="513">
        <v>419087.09</v>
      </c>
      <c r="C122" s="513">
        <v>184205.62</v>
      </c>
      <c r="D122" s="513">
        <f t="shared" si="1"/>
        <v>234881.47000000003</v>
      </c>
    </row>
    <row r="123" spans="1:4">
      <c r="A123" s="512">
        <v>42036</v>
      </c>
      <c r="B123" s="513">
        <v>309507.09000000003</v>
      </c>
      <c r="C123" s="513">
        <v>124245.05</v>
      </c>
      <c r="D123" s="513">
        <f t="shared" si="1"/>
        <v>185262.04000000004</v>
      </c>
    </row>
    <row r="124" spans="1:4">
      <c r="A124" s="512">
        <v>42064</v>
      </c>
      <c r="B124" s="513">
        <v>338855.38</v>
      </c>
      <c r="C124" s="513">
        <v>152301.34</v>
      </c>
      <c r="D124" s="513">
        <f t="shared" si="1"/>
        <v>186554.04</v>
      </c>
    </row>
    <row r="125" spans="1:4">
      <c r="A125" s="512">
        <v>42095</v>
      </c>
      <c r="B125" s="513">
        <v>698849.22</v>
      </c>
      <c r="C125" s="513">
        <v>316488.48</v>
      </c>
      <c r="D125" s="513">
        <f t="shared" si="1"/>
        <v>382360.74</v>
      </c>
    </row>
    <row r="126" spans="1:4">
      <c r="A126" s="512">
        <v>42125</v>
      </c>
      <c r="B126" s="513">
        <v>580395.68999999994</v>
      </c>
      <c r="C126" s="513">
        <v>265451.43</v>
      </c>
      <c r="D126" s="513">
        <f t="shared" si="1"/>
        <v>314944.25999999995</v>
      </c>
    </row>
    <row r="127" spans="1:4">
      <c r="A127" s="512">
        <v>42156</v>
      </c>
      <c r="B127" s="513">
        <v>593591.61</v>
      </c>
      <c r="C127" s="513">
        <v>269525.34000000003</v>
      </c>
      <c r="D127" s="513">
        <f t="shared" si="1"/>
        <v>324066.26999999996</v>
      </c>
    </row>
    <row r="128" spans="1:4">
      <c r="A128" s="512">
        <v>42186</v>
      </c>
      <c r="B128" s="513"/>
      <c r="C128" s="513"/>
      <c r="D128" s="513"/>
    </row>
    <row r="129" spans="1:6">
      <c r="A129" s="515" t="s">
        <v>585</v>
      </c>
      <c r="B129" s="514"/>
      <c r="C129" s="514"/>
      <c r="D129" s="514"/>
    </row>
    <row r="130" spans="1:6">
      <c r="F130" s="513"/>
    </row>
    <row r="131" spans="1:6" ht="11.25" customHeight="1"/>
  </sheetData>
  <pageMargins left="0.5" right="0.5" top="1" bottom="1" header="0.5" footer="0.5"/>
  <pageSetup orientation="portrait" r:id="rId1"/>
  <headerFooter alignWithMargins="0"/>
  <customProperties>
    <customPr name="_pios_id" r:id="rId2"/>
  </customProperties>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O27"/>
  <sheetViews>
    <sheetView workbookViewId="0">
      <selection activeCell="E33" sqref="E33"/>
    </sheetView>
  </sheetViews>
  <sheetFormatPr defaultColWidth="9.140625" defaultRowHeight="12.75"/>
  <cols>
    <col min="1" max="1" width="9.140625" style="536"/>
    <col min="2" max="2" width="10.7109375" style="536" bestFit="1" customWidth="1"/>
    <col min="3" max="3" width="11" style="536" bestFit="1" customWidth="1"/>
    <col min="4" max="4" width="10.85546875" style="536" bestFit="1" customWidth="1"/>
    <col min="5" max="5" width="14.42578125" style="536" bestFit="1" customWidth="1"/>
    <col min="6" max="6" width="10.7109375" style="536" bestFit="1" customWidth="1"/>
    <col min="7" max="16384" width="9.140625" style="536"/>
  </cols>
  <sheetData>
    <row r="1" spans="1:15">
      <c r="F1" s="536" t="s">
        <v>857</v>
      </c>
    </row>
    <row r="5" spans="1:15">
      <c r="A5" s="536" t="s">
        <v>609</v>
      </c>
    </row>
    <row r="8" spans="1:15">
      <c r="A8" s="536" t="s">
        <v>167</v>
      </c>
      <c r="B8" s="536" t="s">
        <v>594</v>
      </c>
      <c r="C8" s="536" t="s">
        <v>593</v>
      </c>
      <c r="D8" s="536" t="s">
        <v>592</v>
      </c>
      <c r="E8" s="536" t="s">
        <v>591</v>
      </c>
      <c r="F8" s="536" t="s">
        <v>245</v>
      </c>
    </row>
    <row r="9" spans="1:15">
      <c r="A9" s="539">
        <f t="shared" ref="A9:A18" si="0">+A10-30</f>
        <v>41856</v>
      </c>
      <c r="B9" s="803">
        <v>158961.51319999999</v>
      </c>
      <c r="C9" s="803">
        <v>141504.38870000001</v>
      </c>
      <c r="D9" s="803">
        <v>21718.821400000001</v>
      </c>
      <c r="E9" s="803">
        <v>30639.5383</v>
      </c>
      <c r="F9" s="536">
        <f>SUM(B9:E9)</f>
        <v>352824.26160000003</v>
      </c>
      <c r="H9" s="710"/>
      <c r="L9" s="626"/>
      <c r="M9" s="626"/>
      <c r="N9" s="626"/>
      <c r="O9" s="626"/>
    </row>
    <row r="10" spans="1:15">
      <c r="A10" s="539">
        <f t="shared" si="0"/>
        <v>41886</v>
      </c>
      <c r="B10" s="803">
        <v>173004.0906</v>
      </c>
      <c r="C10" s="803">
        <v>182628.03279999999</v>
      </c>
      <c r="D10" s="803">
        <v>15995.840399999999</v>
      </c>
      <c r="E10" s="803">
        <v>34244.456899999997</v>
      </c>
      <c r="F10" s="536">
        <f>SUM(B10:E10)</f>
        <v>405872.42069999996</v>
      </c>
      <c r="H10" s="710"/>
      <c r="L10" s="626"/>
      <c r="M10" s="626"/>
      <c r="N10" s="626"/>
      <c r="O10" s="626"/>
    </row>
    <row r="11" spans="1:15">
      <c r="A11" s="539">
        <f t="shared" si="0"/>
        <v>41916</v>
      </c>
      <c r="B11" s="803">
        <v>238493.9026</v>
      </c>
      <c r="C11" s="803">
        <v>239355.46410000001</v>
      </c>
      <c r="D11" s="803">
        <v>35722.877899999999</v>
      </c>
      <c r="E11" s="803">
        <v>43775.160799999998</v>
      </c>
      <c r="F11" s="536">
        <f>SUM(B11:E11)</f>
        <v>557347.40540000005</v>
      </c>
      <c r="H11" s="710"/>
      <c r="L11" s="626"/>
      <c r="M11" s="626"/>
      <c r="N11" s="626"/>
      <c r="O11" s="626"/>
    </row>
    <row r="12" spans="1:15">
      <c r="A12" s="539">
        <f t="shared" si="0"/>
        <v>41946</v>
      </c>
      <c r="B12" s="803">
        <v>872654.14540000004</v>
      </c>
      <c r="C12" s="803">
        <v>390726.05829999998</v>
      </c>
      <c r="D12" s="803">
        <v>43805.2762</v>
      </c>
      <c r="E12" s="803">
        <v>85802.631299999994</v>
      </c>
      <c r="F12" s="536">
        <f t="shared" ref="F12:F20" si="1">SUM(B12:E12)</f>
        <v>1392988.1111999999</v>
      </c>
      <c r="H12" s="710"/>
      <c r="L12" s="626"/>
      <c r="M12" s="626"/>
      <c r="N12" s="626"/>
      <c r="O12" s="626"/>
    </row>
    <row r="13" spans="1:15">
      <c r="A13" s="539">
        <f t="shared" si="0"/>
        <v>41976</v>
      </c>
      <c r="B13" s="803">
        <v>1632491.5681</v>
      </c>
      <c r="C13" s="803">
        <v>705077.81050000002</v>
      </c>
      <c r="D13" s="803">
        <v>89855.670800000007</v>
      </c>
      <c r="E13" s="803">
        <v>153903.71170000001</v>
      </c>
      <c r="F13" s="536">
        <f t="shared" si="1"/>
        <v>2581328.7610999998</v>
      </c>
      <c r="H13" s="710"/>
      <c r="L13" s="626"/>
      <c r="M13" s="626"/>
      <c r="N13" s="626"/>
      <c r="O13" s="626"/>
    </row>
    <row r="14" spans="1:15">
      <c r="A14" s="539">
        <f t="shared" si="0"/>
        <v>42006</v>
      </c>
      <c r="B14" s="803">
        <v>2213741.1485000001</v>
      </c>
      <c r="C14" s="803">
        <v>975517.43790000002</v>
      </c>
      <c r="D14" s="803">
        <v>121881.40949999999</v>
      </c>
      <c r="E14" s="803">
        <v>209593.76930000001</v>
      </c>
      <c r="F14" s="536">
        <f t="shared" si="1"/>
        <v>3520733.7652000003</v>
      </c>
      <c r="H14" s="710"/>
      <c r="L14" s="626"/>
      <c r="M14" s="626"/>
      <c r="N14" s="626"/>
      <c r="O14" s="626"/>
    </row>
    <row r="15" spans="1:15">
      <c r="A15" s="539">
        <f t="shared" si="0"/>
        <v>42036</v>
      </c>
      <c r="B15" s="803">
        <v>1817597.5035000001</v>
      </c>
      <c r="C15" s="803">
        <v>844546.01450000005</v>
      </c>
      <c r="D15" s="803">
        <v>94906.321500000005</v>
      </c>
      <c r="E15" s="803">
        <v>176706.0387</v>
      </c>
      <c r="F15" s="536">
        <f t="shared" si="1"/>
        <v>2933755.8782000002</v>
      </c>
      <c r="H15" s="710"/>
      <c r="L15" s="626"/>
      <c r="M15" s="626"/>
      <c r="N15" s="626"/>
      <c r="O15" s="626"/>
    </row>
    <row r="16" spans="1:15">
      <c r="A16" s="539">
        <f t="shared" si="0"/>
        <v>42066</v>
      </c>
      <c r="B16" s="803">
        <v>2409789.2143999999</v>
      </c>
      <c r="C16" s="803">
        <v>1007671.9408</v>
      </c>
      <c r="D16" s="803">
        <v>169506.30910000001</v>
      </c>
      <c r="E16" s="803">
        <v>226828.78779999999</v>
      </c>
      <c r="F16" s="536">
        <f t="shared" si="1"/>
        <v>3813796.2521000002</v>
      </c>
      <c r="H16" s="710"/>
      <c r="L16" s="626"/>
      <c r="M16" s="626"/>
      <c r="N16" s="626"/>
      <c r="O16" s="626"/>
    </row>
    <row r="17" spans="1:15">
      <c r="A17" s="539">
        <f t="shared" si="0"/>
        <v>42096</v>
      </c>
      <c r="B17" s="803">
        <v>840910.45070000004</v>
      </c>
      <c r="C17" s="803">
        <v>401850.52179999999</v>
      </c>
      <c r="D17" s="803">
        <v>53596.465850000001</v>
      </c>
      <c r="E17" s="803">
        <v>87909.298200000005</v>
      </c>
      <c r="F17" s="536">
        <f t="shared" si="1"/>
        <v>1384266.7365500003</v>
      </c>
      <c r="H17" s="710"/>
      <c r="L17" s="626"/>
      <c r="M17" s="626"/>
      <c r="N17" s="626"/>
      <c r="O17" s="626"/>
    </row>
    <row r="18" spans="1:15">
      <c r="A18" s="539">
        <f t="shared" si="0"/>
        <v>42126</v>
      </c>
      <c r="B18" s="803">
        <v>329075.9436</v>
      </c>
      <c r="C18" s="803">
        <v>198011.92790000001</v>
      </c>
      <c r="D18" s="803">
        <v>41289.269999999997</v>
      </c>
      <c r="E18" s="803">
        <v>50030.712800000001</v>
      </c>
      <c r="F18" s="536">
        <f t="shared" si="1"/>
        <v>618407.85430000001</v>
      </c>
      <c r="H18" s="710"/>
      <c r="L18" s="626"/>
      <c r="M18" s="626"/>
      <c r="N18" s="626"/>
      <c r="O18" s="626"/>
    </row>
    <row r="19" spans="1:15">
      <c r="A19" s="539">
        <f>+A20-30</f>
        <v>42156</v>
      </c>
      <c r="B19" s="803">
        <v>196516.9406</v>
      </c>
      <c r="C19" s="803">
        <v>149991.2708</v>
      </c>
      <c r="D19" s="803">
        <v>35203.321900000003</v>
      </c>
      <c r="E19" s="803">
        <v>30772.874400000001</v>
      </c>
      <c r="F19" s="536">
        <f t="shared" si="1"/>
        <v>412484.40769999998</v>
      </c>
      <c r="H19" s="710"/>
      <c r="L19" s="626"/>
      <c r="M19" s="626"/>
      <c r="N19" s="626"/>
      <c r="O19" s="626"/>
    </row>
    <row r="20" spans="1:15">
      <c r="A20" s="539">
        <f>+D.4!B23</f>
        <v>42186</v>
      </c>
      <c r="B20" s="803">
        <v>158183.5889</v>
      </c>
      <c r="C20" s="803">
        <v>140989.4682</v>
      </c>
      <c r="D20" s="803">
        <v>14840.625899999999</v>
      </c>
      <c r="E20" s="803">
        <v>25864.262200000001</v>
      </c>
      <c r="F20" s="536">
        <f t="shared" si="1"/>
        <v>339877.94519999996</v>
      </c>
      <c r="H20" s="710"/>
      <c r="L20" s="626"/>
      <c r="M20" s="626"/>
      <c r="N20" s="626"/>
      <c r="O20" s="626"/>
    </row>
    <row r="21" spans="1:15">
      <c r="A21" s="536" t="s">
        <v>245</v>
      </c>
      <c r="B21" s="536">
        <f>SUM(B9:B20)</f>
        <v>11041420.010100001</v>
      </c>
      <c r="C21" s="536">
        <f>SUM(C9:C20)</f>
        <v>5377870.3363000005</v>
      </c>
      <c r="D21" s="536">
        <f>SUM(D9:D20)</f>
        <v>738322.21045000013</v>
      </c>
      <c r="E21" s="536">
        <f>SUM(E9:E20)</f>
        <v>1156071.2424000003</v>
      </c>
      <c r="F21" s="536">
        <f>SUM(F9:F20)</f>
        <v>18313683.799249999</v>
      </c>
      <c r="L21" s="626"/>
      <c r="M21" s="626"/>
      <c r="N21" s="626"/>
      <c r="O21" s="626"/>
    </row>
    <row r="22" spans="1:15">
      <c r="A22" s="536" t="s">
        <v>608</v>
      </c>
      <c r="B22" s="863">
        <f>+E.1!I50</f>
        <v>3.5000000000000001E-3</v>
      </c>
      <c r="C22" s="538">
        <f>B22</f>
        <v>3.5000000000000001E-3</v>
      </c>
      <c r="D22" s="538">
        <f>C22</f>
        <v>3.5000000000000001E-3</v>
      </c>
      <c r="E22" s="538">
        <f>D22</f>
        <v>3.5000000000000001E-3</v>
      </c>
      <c r="F22" s="538">
        <f>E22</f>
        <v>3.5000000000000001E-3</v>
      </c>
      <c r="L22" s="626"/>
      <c r="M22" s="626"/>
      <c r="N22" s="626"/>
      <c r="O22" s="626"/>
    </row>
    <row r="23" spans="1:15">
      <c r="B23" s="537">
        <f>ROUND(B21*B22,2)</f>
        <v>38644.97</v>
      </c>
      <c r="C23" s="537">
        <f>ROUND(C21*C22,2)</f>
        <v>18822.55</v>
      </c>
      <c r="D23" s="537">
        <f>ROUND(D21*D22,2)</f>
        <v>2584.13</v>
      </c>
      <c r="E23" s="537">
        <f>ROUND(E21*E22,2)</f>
        <v>4046.25</v>
      </c>
      <c r="F23" s="537">
        <f>ROUND(F21*F22,2)</f>
        <v>64097.89</v>
      </c>
      <c r="L23" s="627"/>
      <c r="M23" s="627"/>
      <c r="N23" s="627"/>
      <c r="O23" s="627"/>
    </row>
    <row r="27" spans="1:15">
      <c r="D27" s="710"/>
    </row>
  </sheetData>
  <pageMargins left="0.75" right="0.75" top="1" bottom="1" header="0.5" footer="0.5"/>
  <pageSetup orientation="portrait" r:id="rId1"/>
  <headerFooter alignWithMargins="0"/>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pageSetUpPr fitToPage="1"/>
  </sheetPr>
  <dimension ref="A1:N69"/>
  <sheetViews>
    <sheetView topLeftCell="A12" zoomScale="80" zoomScaleNormal="80" workbookViewId="0">
      <selection activeCell="E33" sqref="E33"/>
    </sheetView>
  </sheetViews>
  <sheetFormatPr defaultColWidth="9.140625" defaultRowHeight="12.75"/>
  <cols>
    <col min="1" max="1" width="9.140625" style="92"/>
    <col min="2" max="2" width="19.140625" style="91" bestFit="1" customWidth="1"/>
    <col min="3" max="4" width="18.28515625" style="90" bestFit="1" customWidth="1"/>
    <col min="5" max="7" width="18.28515625" style="90" customWidth="1"/>
    <col min="8" max="8" width="12.5703125" style="652" customWidth="1"/>
    <col min="9" max="16384" width="9.140625" style="90"/>
  </cols>
  <sheetData>
    <row r="1" spans="1:12" ht="15">
      <c r="A1" s="107" t="s">
        <v>168</v>
      </c>
      <c r="B1" s="106"/>
    </row>
    <row r="2" spans="1:12" ht="4.5" customHeight="1"/>
    <row r="3" spans="1:12">
      <c r="A3" s="105">
        <v>1</v>
      </c>
      <c r="B3" s="105" t="s">
        <v>56</v>
      </c>
      <c r="C3" s="105">
        <v>3</v>
      </c>
      <c r="D3" s="105">
        <v>4</v>
      </c>
      <c r="E3" s="105">
        <v>5</v>
      </c>
      <c r="F3" s="105">
        <v>6</v>
      </c>
      <c r="G3" s="105">
        <v>7</v>
      </c>
      <c r="H3" s="653">
        <v>5</v>
      </c>
    </row>
    <row r="4" spans="1:12" ht="3.75" customHeight="1">
      <c r="L4" s="90" t="str">
        <f>UPPER(C4)</f>
        <v/>
      </c>
    </row>
    <row r="5" spans="1:12" ht="25.5">
      <c r="A5" s="104" t="s">
        <v>167</v>
      </c>
      <c r="B5" s="103" t="s">
        <v>19</v>
      </c>
      <c r="C5" s="102" t="s">
        <v>5</v>
      </c>
      <c r="D5" s="102" t="s">
        <v>166</v>
      </c>
      <c r="E5" s="1058" t="s">
        <v>1149</v>
      </c>
      <c r="F5" s="1058" t="s">
        <v>1150</v>
      </c>
      <c r="G5" s="1058" t="s">
        <v>1151</v>
      </c>
      <c r="H5" s="654" t="s">
        <v>799</v>
      </c>
    </row>
    <row r="6" spans="1:12" hidden="1">
      <c r="A6" s="92">
        <v>37834</v>
      </c>
      <c r="B6" s="91" t="s">
        <v>165</v>
      </c>
      <c r="L6" s="90" t="str">
        <f t="shared" ref="L6:L11" si="0">UPPER(C6)</f>
        <v/>
      </c>
    </row>
    <row r="7" spans="1:12" hidden="1">
      <c r="A7" s="92">
        <f t="shared" ref="A7:A14" si="1">EDATE(A6,3)</f>
        <v>37926</v>
      </c>
      <c r="B7" s="91" t="s">
        <v>164</v>
      </c>
      <c r="L7" s="90" t="str">
        <f t="shared" si="0"/>
        <v/>
      </c>
    </row>
    <row r="8" spans="1:12" hidden="1">
      <c r="A8" s="92">
        <f t="shared" si="1"/>
        <v>38018</v>
      </c>
      <c r="B8" s="91" t="s">
        <v>163</v>
      </c>
      <c r="L8" s="90" t="str">
        <f t="shared" si="0"/>
        <v/>
      </c>
    </row>
    <row r="9" spans="1:12" hidden="1">
      <c r="A9" s="92">
        <f t="shared" si="1"/>
        <v>38108</v>
      </c>
      <c r="B9" s="91" t="s">
        <v>162</v>
      </c>
      <c r="L9" s="90" t="str">
        <f t="shared" si="0"/>
        <v/>
      </c>
    </row>
    <row r="10" spans="1:12" hidden="1">
      <c r="A10" s="92">
        <f t="shared" si="1"/>
        <v>38200</v>
      </c>
      <c r="B10" s="91" t="s">
        <v>161</v>
      </c>
      <c r="L10" s="90" t="str">
        <f t="shared" si="0"/>
        <v/>
      </c>
    </row>
    <row r="11" spans="1:12" hidden="1">
      <c r="A11" s="92">
        <f t="shared" si="1"/>
        <v>38292</v>
      </c>
      <c r="B11" s="91" t="s">
        <v>160</v>
      </c>
      <c r="L11" s="90" t="str">
        <f t="shared" si="0"/>
        <v/>
      </c>
    </row>
    <row r="12" spans="1:12">
      <c r="A12" s="92">
        <f t="shared" si="1"/>
        <v>38384</v>
      </c>
      <c r="B12" s="91" t="s">
        <v>159</v>
      </c>
      <c r="C12" s="90" t="s">
        <v>803</v>
      </c>
      <c r="D12" s="90" t="s">
        <v>158</v>
      </c>
    </row>
    <row r="13" spans="1:12">
      <c r="A13" s="92">
        <f t="shared" si="1"/>
        <v>38473</v>
      </c>
      <c r="B13" s="91" t="s">
        <v>157</v>
      </c>
      <c r="C13" s="90" t="s">
        <v>804</v>
      </c>
      <c r="D13" s="90" t="s">
        <v>156</v>
      </c>
    </row>
    <row r="14" spans="1:12">
      <c r="A14" s="92">
        <f t="shared" si="1"/>
        <v>38565</v>
      </c>
      <c r="B14" s="91" t="s">
        <v>155</v>
      </c>
      <c r="C14" s="90" t="s">
        <v>805</v>
      </c>
      <c r="D14" s="90" t="s">
        <v>154</v>
      </c>
    </row>
    <row r="15" spans="1:12">
      <c r="A15" s="92">
        <v>38626</v>
      </c>
      <c r="B15" s="97" t="s">
        <v>153</v>
      </c>
      <c r="C15" s="90" t="s">
        <v>806</v>
      </c>
      <c r="D15" s="90" t="s">
        <v>152</v>
      </c>
    </row>
    <row r="16" spans="1:12">
      <c r="A16" s="92">
        <f>EDATE(A15,1)</f>
        <v>38657</v>
      </c>
      <c r="B16" s="97" t="s">
        <v>151</v>
      </c>
      <c r="C16" s="90" t="s">
        <v>807</v>
      </c>
      <c r="D16" s="90" t="s">
        <v>150</v>
      </c>
    </row>
    <row r="17" spans="1:14">
      <c r="A17" s="92">
        <f t="shared" ref="A17:A26" si="2">EDATE(A16,3)</f>
        <v>38749</v>
      </c>
      <c r="B17" s="97" t="s">
        <v>149</v>
      </c>
      <c r="C17" s="90" t="s">
        <v>808</v>
      </c>
      <c r="D17" s="90" t="s">
        <v>148</v>
      </c>
      <c r="N17" s="101"/>
    </row>
    <row r="18" spans="1:14">
      <c r="A18" s="92">
        <f t="shared" si="2"/>
        <v>38838</v>
      </c>
      <c r="B18" s="97" t="s">
        <v>147</v>
      </c>
      <c r="C18" s="90" t="s">
        <v>809</v>
      </c>
      <c r="D18" s="90" t="s">
        <v>146</v>
      </c>
    </row>
    <row r="19" spans="1:14">
      <c r="A19" s="92">
        <f t="shared" si="2"/>
        <v>38930</v>
      </c>
      <c r="B19" s="97" t="s">
        <v>145</v>
      </c>
      <c r="C19" s="100" t="s">
        <v>810</v>
      </c>
      <c r="D19" s="90" t="s">
        <v>144</v>
      </c>
    </row>
    <row r="20" spans="1:14">
      <c r="A20" s="92">
        <f t="shared" si="2"/>
        <v>39022</v>
      </c>
      <c r="B20" s="97" t="s">
        <v>143</v>
      </c>
      <c r="C20" s="100" t="s">
        <v>811</v>
      </c>
      <c r="D20" s="90" t="str">
        <f t="shared" ref="D20:D29" si="3">C19</f>
        <v>EIGHTEENTH</v>
      </c>
    </row>
    <row r="21" spans="1:14">
      <c r="A21" s="92">
        <f t="shared" si="2"/>
        <v>39114</v>
      </c>
      <c r="B21" s="97" t="s">
        <v>142</v>
      </c>
      <c r="C21" s="100" t="s">
        <v>812</v>
      </c>
      <c r="D21" s="90" t="str">
        <f t="shared" si="3"/>
        <v>NINETEENTH</v>
      </c>
    </row>
    <row r="22" spans="1:14">
      <c r="A22" s="92">
        <f t="shared" si="2"/>
        <v>39203</v>
      </c>
      <c r="B22" s="97" t="s">
        <v>141</v>
      </c>
      <c r="C22" s="100" t="s">
        <v>813</v>
      </c>
      <c r="D22" s="90" t="str">
        <f t="shared" si="3"/>
        <v>TWENTIETH</v>
      </c>
    </row>
    <row r="23" spans="1:14">
      <c r="A23" s="92">
        <f t="shared" si="2"/>
        <v>39295</v>
      </c>
      <c r="B23" s="97" t="s">
        <v>140</v>
      </c>
      <c r="C23" s="100" t="s">
        <v>814</v>
      </c>
      <c r="D23" s="90" t="str">
        <f t="shared" si="3"/>
        <v>TWENTY-FIRST</v>
      </c>
    </row>
    <row r="24" spans="1:14">
      <c r="A24" s="92">
        <f t="shared" si="2"/>
        <v>39387</v>
      </c>
      <c r="B24" s="97" t="s">
        <v>139</v>
      </c>
      <c r="C24" s="100" t="s">
        <v>815</v>
      </c>
      <c r="D24" s="90" t="str">
        <f t="shared" si="3"/>
        <v>TWENTY-SECOND</v>
      </c>
    </row>
    <row r="25" spans="1:14">
      <c r="A25" s="92">
        <f t="shared" si="2"/>
        <v>39479</v>
      </c>
      <c r="B25" s="97" t="s">
        <v>138</v>
      </c>
      <c r="C25" s="100" t="s">
        <v>816</v>
      </c>
      <c r="D25" s="90" t="str">
        <f t="shared" si="3"/>
        <v>TWENTY-FOURTH</v>
      </c>
    </row>
    <row r="26" spans="1:14">
      <c r="A26" s="92">
        <f t="shared" si="2"/>
        <v>39569</v>
      </c>
      <c r="B26" s="97" t="s">
        <v>137</v>
      </c>
      <c r="C26" s="100" t="s">
        <v>817</v>
      </c>
      <c r="D26" s="90" t="str">
        <f t="shared" si="3"/>
        <v>TWENTY-FIFTH</v>
      </c>
    </row>
    <row r="27" spans="1:14">
      <c r="A27" s="92">
        <f>EDATE(A26,1)</f>
        <v>39600</v>
      </c>
      <c r="B27" s="97" t="s">
        <v>136</v>
      </c>
      <c r="C27" s="100" t="s">
        <v>818</v>
      </c>
      <c r="D27" s="90" t="str">
        <f t="shared" si="3"/>
        <v>TWENTY-SIXTH</v>
      </c>
    </row>
    <row r="28" spans="1:14">
      <c r="A28" s="92">
        <f>EDATE(A27,1)</f>
        <v>39630</v>
      </c>
      <c r="B28" s="97" t="s">
        <v>135</v>
      </c>
      <c r="C28" s="100" t="s">
        <v>819</v>
      </c>
      <c r="D28" s="90" t="str">
        <f t="shared" si="3"/>
        <v>TWENTY-SEVENTH</v>
      </c>
    </row>
    <row r="29" spans="1:14">
      <c r="A29" s="92">
        <f>EDATE(A28,1)</f>
        <v>39661</v>
      </c>
      <c r="B29" s="97" t="s">
        <v>134</v>
      </c>
      <c r="C29" s="100" t="s">
        <v>820</v>
      </c>
      <c r="D29" s="90" t="str">
        <f t="shared" si="3"/>
        <v>TWENTY-EIGHTH</v>
      </c>
    </row>
    <row r="30" spans="1:14">
      <c r="A30" s="92">
        <v>39729</v>
      </c>
      <c r="B30" s="97" t="s">
        <v>133</v>
      </c>
      <c r="C30" s="100" t="s">
        <v>821</v>
      </c>
      <c r="D30" s="90" t="s">
        <v>132</v>
      </c>
    </row>
    <row r="31" spans="1:14">
      <c r="A31" s="92">
        <v>39753</v>
      </c>
      <c r="B31" s="97" t="s">
        <v>131</v>
      </c>
      <c r="C31" s="100" t="s">
        <v>822</v>
      </c>
      <c r="D31" s="90" t="s">
        <v>130</v>
      </c>
    </row>
    <row r="32" spans="1:14">
      <c r="A32" s="98">
        <v>39853</v>
      </c>
      <c r="B32" s="97" t="s">
        <v>129</v>
      </c>
      <c r="C32" s="100" t="s">
        <v>823</v>
      </c>
      <c r="D32" s="90" t="s">
        <v>128</v>
      </c>
    </row>
    <row r="33" spans="1:9">
      <c r="A33" s="98">
        <v>39904</v>
      </c>
      <c r="B33" s="97" t="s">
        <v>127</v>
      </c>
      <c r="C33" s="100" t="s">
        <v>824</v>
      </c>
      <c r="D33" s="90" t="s">
        <v>126</v>
      </c>
    </row>
    <row r="34" spans="1:9">
      <c r="A34" s="98">
        <v>39934</v>
      </c>
      <c r="B34" s="97" t="s">
        <v>125</v>
      </c>
      <c r="C34" s="100" t="s">
        <v>825</v>
      </c>
      <c r="D34" s="90" t="s">
        <v>124</v>
      </c>
    </row>
    <row r="35" spans="1:9">
      <c r="A35" s="98">
        <v>40034</v>
      </c>
      <c r="B35" s="97" t="s">
        <v>123</v>
      </c>
      <c r="C35" s="100" t="s">
        <v>826</v>
      </c>
      <c r="D35" s="90" t="s">
        <v>122</v>
      </c>
    </row>
    <row r="36" spans="1:9">
      <c r="A36" s="98">
        <v>40118</v>
      </c>
      <c r="B36" s="97" t="s">
        <v>121</v>
      </c>
      <c r="C36" s="100" t="s">
        <v>827</v>
      </c>
      <c r="D36" s="90" t="str">
        <f t="shared" ref="D36:D45" si="4">C35</f>
        <v>THIRTY-FIFTH</v>
      </c>
    </row>
    <row r="37" spans="1:9">
      <c r="A37" s="98">
        <v>40179</v>
      </c>
      <c r="B37" s="97" t="s">
        <v>120</v>
      </c>
      <c r="C37" s="100" t="s">
        <v>828</v>
      </c>
      <c r="D37" s="90" t="str">
        <f t="shared" si="4"/>
        <v>THIRTY-SIXTH</v>
      </c>
    </row>
    <row r="38" spans="1:9">
      <c r="A38" s="98">
        <v>40210</v>
      </c>
      <c r="B38" s="97" t="s">
        <v>119</v>
      </c>
      <c r="C38" s="100" t="s">
        <v>829</v>
      </c>
      <c r="D38" s="90" t="str">
        <f t="shared" si="4"/>
        <v>THIRTY-SEVENTH</v>
      </c>
    </row>
    <row r="39" spans="1:9">
      <c r="A39" s="98">
        <v>40299</v>
      </c>
      <c r="B39" s="97" t="s">
        <v>118</v>
      </c>
      <c r="C39" s="100" t="s">
        <v>830</v>
      </c>
      <c r="D39" s="90" t="str">
        <f t="shared" si="4"/>
        <v>THIRTY-EIGHTH</v>
      </c>
    </row>
    <row r="40" spans="1:9">
      <c r="A40" s="98">
        <v>40339</v>
      </c>
      <c r="B40" s="97" t="s">
        <v>117</v>
      </c>
      <c r="C40" s="100" t="s">
        <v>831</v>
      </c>
      <c r="D40" s="90" t="str">
        <f t="shared" si="4"/>
        <v>THIRTY-NINTH</v>
      </c>
      <c r="I40" s="90" t="s">
        <v>116</v>
      </c>
    </row>
    <row r="41" spans="1:9">
      <c r="A41" s="98">
        <v>40391</v>
      </c>
      <c r="B41" s="97" t="s">
        <v>115</v>
      </c>
      <c r="C41" s="96" t="s">
        <v>832</v>
      </c>
      <c r="D41" s="90" t="str">
        <f t="shared" si="4"/>
        <v>FORTIETH</v>
      </c>
    </row>
    <row r="42" spans="1:9">
      <c r="A42" s="98">
        <v>40483</v>
      </c>
      <c r="B42" s="97" t="s">
        <v>114</v>
      </c>
      <c r="C42" s="96" t="s">
        <v>833</v>
      </c>
      <c r="D42" s="90" t="str">
        <f t="shared" si="4"/>
        <v>FORTY-FIRST</v>
      </c>
    </row>
    <row r="43" spans="1:9">
      <c r="A43" s="98">
        <v>40575</v>
      </c>
      <c r="B43" s="97" t="s">
        <v>113</v>
      </c>
      <c r="C43" s="96" t="s">
        <v>834</v>
      </c>
      <c r="D43" s="90" t="str">
        <f t="shared" si="4"/>
        <v>FORTY-SECOND</v>
      </c>
    </row>
    <row r="44" spans="1:9">
      <c r="A44" s="98">
        <v>40634</v>
      </c>
      <c r="B44" s="97" t="s">
        <v>112</v>
      </c>
      <c r="C44" s="96" t="s">
        <v>835</v>
      </c>
      <c r="D44" s="90" t="str">
        <f t="shared" si="4"/>
        <v>FORTY-THIRD</v>
      </c>
    </row>
    <row r="45" spans="1:9">
      <c r="A45" s="98">
        <v>40664</v>
      </c>
      <c r="B45" s="97" t="s">
        <v>111</v>
      </c>
      <c r="C45" s="96" t="s">
        <v>836</v>
      </c>
      <c r="D45" s="90" t="str">
        <f t="shared" si="4"/>
        <v>FORTY-FOURTH</v>
      </c>
    </row>
    <row r="46" spans="1:9">
      <c r="A46" s="98">
        <v>40756</v>
      </c>
      <c r="B46" s="97" t="s">
        <v>110</v>
      </c>
      <c r="C46" s="96" t="s">
        <v>837</v>
      </c>
      <c r="D46" s="90" t="s">
        <v>109</v>
      </c>
    </row>
    <row r="47" spans="1:9">
      <c r="A47" s="98">
        <v>40848</v>
      </c>
      <c r="B47" s="97" t="s">
        <v>108</v>
      </c>
      <c r="C47" s="96" t="s">
        <v>838</v>
      </c>
      <c r="D47" s="90" t="s">
        <v>107</v>
      </c>
    </row>
    <row r="48" spans="1:9">
      <c r="A48" s="98">
        <v>40940</v>
      </c>
      <c r="B48" s="97" t="s">
        <v>15</v>
      </c>
      <c r="C48" s="96" t="s">
        <v>839</v>
      </c>
      <c r="D48" s="90" t="s">
        <v>106</v>
      </c>
    </row>
    <row r="49" spans="1:9">
      <c r="A49" s="98">
        <v>41030</v>
      </c>
      <c r="B49" s="97" t="s">
        <v>13</v>
      </c>
      <c r="C49" s="96" t="s">
        <v>840</v>
      </c>
      <c r="D49" s="90" t="s">
        <v>105</v>
      </c>
    </row>
    <row r="50" spans="1:9">
      <c r="A50" s="98">
        <v>41122</v>
      </c>
      <c r="B50" s="99" t="s">
        <v>11</v>
      </c>
      <c r="C50" s="96" t="s">
        <v>841</v>
      </c>
      <c r="D50" s="90" t="s">
        <v>104</v>
      </c>
    </row>
    <row r="51" spans="1:9">
      <c r="A51" s="98">
        <v>41214</v>
      </c>
      <c r="B51" s="97" t="s">
        <v>40</v>
      </c>
      <c r="C51" s="96" t="s">
        <v>842</v>
      </c>
      <c r="D51" s="90" t="str">
        <f t="shared" ref="D51:D57" si="5">C50</f>
        <v>FIFTIETH</v>
      </c>
    </row>
    <row r="52" spans="1:9">
      <c r="A52" s="98">
        <v>41244</v>
      </c>
      <c r="B52" s="97" t="s">
        <v>728</v>
      </c>
      <c r="C52" s="96" t="s">
        <v>843</v>
      </c>
      <c r="D52" s="90" t="str">
        <f t="shared" si="5"/>
        <v>FIFTY-FIRST</v>
      </c>
      <c r="I52" s="632" t="s">
        <v>730</v>
      </c>
    </row>
    <row r="53" spans="1:9">
      <c r="A53" s="98">
        <v>41306</v>
      </c>
      <c r="B53" s="97" t="s">
        <v>790</v>
      </c>
      <c r="C53" s="96" t="s">
        <v>844</v>
      </c>
      <c r="D53" s="90" t="str">
        <f t="shared" si="5"/>
        <v>FIFTY-SECOND</v>
      </c>
      <c r="E53" s="1059">
        <f t="shared" ref="E53:E64" si="6">+G52</f>
        <v>0</v>
      </c>
      <c r="F53" s="1059">
        <f t="shared" ref="F53:F62" si="7">+EOMONTH(G53,-1)</f>
        <v>41305</v>
      </c>
      <c r="G53" s="1059">
        <f t="shared" ref="G53:G64" si="8">+A53</f>
        <v>41306</v>
      </c>
      <c r="H53" s="652">
        <v>41291</v>
      </c>
    </row>
    <row r="54" spans="1:9">
      <c r="A54" s="98">
        <v>41395</v>
      </c>
      <c r="B54" s="97" t="s">
        <v>854</v>
      </c>
      <c r="C54" s="96" t="s">
        <v>845</v>
      </c>
      <c r="D54" s="90" t="str">
        <f t="shared" si="5"/>
        <v>FIFTY-THIRD</v>
      </c>
      <c r="E54" s="1059">
        <f t="shared" si="6"/>
        <v>41306</v>
      </c>
      <c r="F54" s="1059">
        <f t="shared" si="7"/>
        <v>41394</v>
      </c>
      <c r="G54" s="1059">
        <f t="shared" si="8"/>
        <v>41395</v>
      </c>
      <c r="H54" s="652">
        <v>41374</v>
      </c>
    </row>
    <row r="55" spans="1:9">
      <c r="A55" s="98">
        <v>41487</v>
      </c>
      <c r="B55" s="97" t="s">
        <v>976</v>
      </c>
      <c r="C55" s="96" t="s">
        <v>855</v>
      </c>
      <c r="D55" s="90" t="str">
        <f t="shared" si="5"/>
        <v>FIFTY-FOURTH</v>
      </c>
      <c r="E55" s="1059">
        <f t="shared" si="6"/>
        <v>41395</v>
      </c>
      <c r="F55" s="1059">
        <f t="shared" si="7"/>
        <v>41486</v>
      </c>
      <c r="G55" s="1059">
        <f t="shared" si="8"/>
        <v>41487</v>
      </c>
      <c r="H55" s="652">
        <v>41473</v>
      </c>
    </row>
    <row r="56" spans="1:9">
      <c r="A56" s="98">
        <v>41579</v>
      </c>
      <c r="B56" s="97" t="s">
        <v>993</v>
      </c>
      <c r="C56" s="96" t="s">
        <v>977</v>
      </c>
      <c r="D56" s="90" t="str">
        <f t="shared" si="5"/>
        <v>FIFTY-FIFTH</v>
      </c>
      <c r="E56" s="1059">
        <f t="shared" si="6"/>
        <v>41487</v>
      </c>
      <c r="F56" s="1059">
        <f t="shared" si="7"/>
        <v>41578</v>
      </c>
      <c r="G56" s="1059">
        <f t="shared" si="8"/>
        <v>41579</v>
      </c>
      <c r="H56" s="652">
        <v>41568</v>
      </c>
    </row>
    <row r="57" spans="1:9">
      <c r="A57" s="98">
        <v>41670</v>
      </c>
      <c r="B57" s="97" t="s">
        <v>1029</v>
      </c>
      <c r="C57" s="96" t="s">
        <v>992</v>
      </c>
      <c r="D57" s="90" t="str">
        <f t="shared" si="5"/>
        <v>FIFTY-SIXTH</v>
      </c>
      <c r="E57" s="1059">
        <f t="shared" si="6"/>
        <v>41579</v>
      </c>
      <c r="F57" s="1059">
        <f t="shared" si="7"/>
        <v>41639</v>
      </c>
      <c r="G57" s="1059">
        <f t="shared" si="8"/>
        <v>41670</v>
      </c>
      <c r="H57" s="652">
        <v>41667</v>
      </c>
    </row>
    <row r="58" spans="1:9">
      <c r="A58" s="98">
        <v>41671</v>
      </c>
      <c r="B58" s="97" t="s">
        <v>1029</v>
      </c>
      <c r="C58" s="96" t="s">
        <v>1031</v>
      </c>
      <c r="D58" s="632" t="s">
        <v>1033</v>
      </c>
      <c r="E58" s="1059">
        <f t="shared" si="6"/>
        <v>41670</v>
      </c>
      <c r="F58" s="1059">
        <f t="shared" si="7"/>
        <v>41670</v>
      </c>
      <c r="G58" s="1059">
        <f t="shared" si="8"/>
        <v>41671</v>
      </c>
      <c r="H58" s="652">
        <v>41671</v>
      </c>
      <c r="I58" s="632" t="s">
        <v>116</v>
      </c>
    </row>
    <row r="59" spans="1:9">
      <c r="A59" s="98">
        <v>41760</v>
      </c>
      <c r="B59" s="97" t="s">
        <v>1039</v>
      </c>
      <c r="C59" s="96" t="s">
        <v>1035</v>
      </c>
      <c r="D59" s="632" t="s">
        <v>1031</v>
      </c>
      <c r="E59" s="1059">
        <f t="shared" si="6"/>
        <v>41671</v>
      </c>
      <c r="F59" s="1059">
        <f t="shared" si="7"/>
        <v>41759</v>
      </c>
      <c r="G59" s="1059">
        <f t="shared" si="8"/>
        <v>41760</v>
      </c>
      <c r="H59" s="652">
        <v>41754</v>
      </c>
      <c r="I59" s="632"/>
    </row>
    <row r="60" spans="1:9">
      <c r="A60" s="98">
        <v>41761</v>
      </c>
      <c r="B60" s="97" t="s">
        <v>1040</v>
      </c>
      <c r="C60" s="96" t="s">
        <v>1033</v>
      </c>
      <c r="D60" s="632"/>
      <c r="E60" s="1059">
        <f t="shared" si="6"/>
        <v>41760</v>
      </c>
      <c r="F60" s="1059">
        <f t="shared" si="7"/>
        <v>41759</v>
      </c>
      <c r="G60" s="1059">
        <f t="shared" si="8"/>
        <v>41761</v>
      </c>
      <c r="H60" s="652">
        <v>41754</v>
      </c>
      <c r="I60" s="632"/>
    </row>
    <row r="61" spans="1:9">
      <c r="A61" s="98">
        <v>41852</v>
      </c>
      <c r="B61" s="97" t="s">
        <v>1041</v>
      </c>
      <c r="C61" s="96" t="s">
        <v>1031</v>
      </c>
      <c r="D61" s="632" t="s">
        <v>1033</v>
      </c>
      <c r="E61" s="1059">
        <f t="shared" si="6"/>
        <v>41761</v>
      </c>
      <c r="F61" s="1059">
        <f t="shared" si="7"/>
        <v>41851</v>
      </c>
      <c r="G61" s="1059">
        <f t="shared" si="8"/>
        <v>41852</v>
      </c>
      <c r="H61" s="652">
        <v>41838</v>
      </c>
      <c r="I61" s="632"/>
    </row>
    <row r="62" spans="1:9">
      <c r="A62" s="98">
        <v>41944</v>
      </c>
      <c r="B62" s="97" t="s">
        <v>1048</v>
      </c>
      <c r="C62" s="96" t="s">
        <v>1035</v>
      </c>
      <c r="D62" s="632" t="s">
        <v>1031</v>
      </c>
      <c r="E62" s="1059">
        <f t="shared" si="6"/>
        <v>41852</v>
      </c>
      <c r="F62" s="1059">
        <f t="shared" si="7"/>
        <v>41943</v>
      </c>
      <c r="G62" s="1059">
        <f t="shared" si="8"/>
        <v>41944</v>
      </c>
      <c r="H62" s="652">
        <v>41939</v>
      </c>
      <c r="I62" s="632"/>
    </row>
    <row r="63" spans="1:9">
      <c r="A63" s="98">
        <v>42005</v>
      </c>
      <c r="B63" s="97" t="s">
        <v>1127</v>
      </c>
      <c r="C63" s="96" t="s">
        <v>1049</v>
      </c>
      <c r="D63" s="632" t="s">
        <v>1035</v>
      </c>
      <c r="E63" s="1059">
        <f t="shared" si="6"/>
        <v>41944</v>
      </c>
      <c r="F63" s="1059">
        <f>+EOMONTH(G63,-1)</f>
        <v>42004</v>
      </c>
      <c r="G63" s="1059">
        <f t="shared" si="8"/>
        <v>42005</v>
      </c>
      <c r="H63" s="652">
        <v>41995</v>
      </c>
      <c r="I63" s="632" t="s">
        <v>730</v>
      </c>
    </row>
    <row r="64" spans="1:9">
      <c r="A64" s="98">
        <v>42036</v>
      </c>
      <c r="B64" s="97" t="s">
        <v>1146</v>
      </c>
      <c r="C64" s="96" t="s">
        <v>1128</v>
      </c>
      <c r="D64" s="632" t="s">
        <v>1049</v>
      </c>
      <c r="E64" s="1059">
        <f t="shared" si="6"/>
        <v>42005</v>
      </c>
      <c r="F64" s="1059">
        <f t="shared" ref="F64:F66" si="9">+EOMONTH(G64,-1)</f>
        <v>42035</v>
      </c>
      <c r="G64" s="1059">
        <f t="shared" si="8"/>
        <v>42036</v>
      </c>
      <c r="H64" s="652">
        <v>42030</v>
      </c>
      <c r="I64" s="632"/>
    </row>
    <row r="65" spans="1:9">
      <c r="A65" s="98">
        <v>42095</v>
      </c>
      <c r="B65" s="97" t="s">
        <v>1153</v>
      </c>
      <c r="C65" s="96" t="s">
        <v>1148</v>
      </c>
      <c r="D65" s="632" t="s">
        <v>1128</v>
      </c>
      <c r="E65" s="1059">
        <f>+G64</f>
        <v>42036</v>
      </c>
      <c r="F65" s="1059">
        <f t="shared" si="9"/>
        <v>42094</v>
      </c>
      <c r="G65" s="1059">
        <f>+A65</f>
        <v>42095</v>
      </c>
      <c r="H65" s="652">
        <v>42080</v>
      </c>
      <c r="I65" s="632"/>
    </row>
    <row r="66" spans="1:9">
      <c r="A66" s="98">
        <v>42125</v>
      </c>
      <c r="B66" s="97" t="s">
        <v>1155</v>
      </c>
      <c r="C66" s="96" t="s">
        <v>1152</v>
      </c>
      <c r="D66" s="632" t="str">
        <f>+C65</f>
        <v>FIFTH</v>
      </c>
      <c r="E66" s="1059">
        <f>+G65</f>
        <v>42095</v>
      </c>
      <c r="F66" s="1059">
        <f t="shared" si="9"/>
        <v>42124</v>
      </c>
      <c r="G66" s="1059">
        <f>+A66</f>
        <v>42125</v>
      </c>
      <c r="H66" s="652">
        <v>42109</v>
      </c>
      <c r="I66" s="632"/>
    </row>
    <row r="67" spans="1:9">
      <c r="A67" s="98">
        <v>42217</v>
      </c>
      <c r="B67" s="97" t="s">
        <v>1166</v>
      </c>
      <c r="C67" s="96" t="s">
        <v>1154</v>
      </c>
      <c r="D67" s="632" t="str">
        <f>+C66</f>
        <v>SIXTH</v>
      </c>
      <c r="E67" s="1059">
        <f>+G66</f>
        <v>42125</v>
      </c>
      <c r="F67" s="1059">
        <f t="shared" ref="F67" si="10">+EOMONTH(G67,-1)</f>
        <v>42216</v>
      </c>
      <c r="G67" s="1059">
        <f>+A67</f>
        <v>42217</v>
      </c>
      <c r="I67" s="632"/>
    </row>
    <row r="68" spans="1:9">
      <c r="A68" s="98">
        <v>42309</v>
      </c>
      <c r="B68" s="97" t="s">
        <v>1147</v>
      </c>
      <c r="C68" s="96" t="s">
        <v>1164</v>
      </c>
      <c r="D68" s="632" t="str">
        <f>+C67</f>
        <v>SEVENTH</v>
      </c>
      <c r="E68" s="1059">
        <f>+G67</f>
        <v>42217</v>
      </c>
      <c r="F68" s="1059">
        <f t="shared" ref="F68" si="11">+EOMONTH(G68,-1)</f>
        <v>42308</v>
      </c>
      <c r="G68" s="1059">
        <f>+A68</f>
        <v>42309</v>
      </c>
      <c r="I68" s="632"/>
    </row>
    <row r="69" spans="1:9">
      <c r="A69" s="95" t="s">
        <v>103</v>
      </c>
      <c r="B69" s="94"/>
      <c r="C69" s="93"/>
      <c r="D69" s="93"/>
      <c r="E69" s="93"/>
      <c r="F69" s="93"/>
      <c r="G69" s="93"/>
      <c r="H69" s="655"/>
    </row>
  </sheetData>
  <pageMargins left="0.25" right="0.25" top="0.75" bottom="0.75" header="0.3" footer="0.3"/>
  <pageSetup scale="60" orientation="portrait" r:id="rId1"/>
  <headerFooter alignWithMargins="0"/>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33"/>
  <sheetViews>
    <sheetView workbookViewId="0">
      <pane xSplit="6" ySplit="1" topLeftCell="G2" activePane="bottomRight" state="frozen"/>
      <selection activeCell="B31" sqref="B31"/>
      <selection pane="topRight" activeCell="B31" sqref="B31"/>
      <selection pane="bottomLeft" activeCell="B31" sqref="B31"/>
      <selection pane="bottomRight" activeCell="U49" sqref="U49"/>
    </sheetView>
  </sheetViews>
  <sheetFormatPr defaultColWidth="9.140625" defaultRowHeight="12.75"/>
  <cols>
    <col min="1" max="1" width="5.28515625" style="1" bestFit="1" customWidth="1"/>
    <col min="2" max="2" width="9.7109375" style="1" bestFit="1" customWidth="1"/>
    <col min="3" max="3" width="11.140625" style="1" bestFit="1" customWidth="1"/>
    <col min="4" max="4" width="9.140625" style="1"/>
    <col min="5" max="5" width="36.42578125" style="1" bestFit="1" customWidth="1"/>
    <col min="6" max="6" width="9.140625" style="1"/>
    <col min="7" max="7" width="11.28515625" style="1" bestFit="1" customWidth="1"/>
    <col min="8" max="9" width="9.140625" style="1"/>
    <col min="10" max="10" width="5.42578125" style="1" bestFit="1" customWidth="1"/>
    <col min="11" max="11" width="7.85546875" style="1" bestFit="1" customWidth="1"/>
    <col min="12" max="16384" width="9.140625" style="1"/>
  </cols>
  <sheetData>
    <row r="1" spans="1:13">
      <c r="A1" s="132" t="s">
        <v>221</v>
      </c>
      <c r="B1" s="132" t="s">
        <v>220</v>
      </c>
      <c r="C1" s="132" t="s">
        <v>219</v>
      </c>
      <c r="D1" s="1" t="s">
        <v>218</v>
      </c>
      <c r="E1" s="1" t="s">
        <v>41</v>
      </c>
      <c r="F1" s="1" t="s">
        <v>217</v>
      </c>
      <c r="G1" s="1" t="s">
        <v>216</v>
      </c>
      <c r="H1" s="1" t="s">
        <v>215</v>
      </c>
      <c r="I1" s="1" t="s">
        <v>214</v>
      </c>
      <c r="J1" s="1" t="s">
        <v>213</v>
      </c>
      <c r="K1" s="1" t="s">
        <v>212</v>
      </c>
    </row>
    <row r="2" spans="1:13">
      <c r="A2" s="131" t="s">
        <v>174</v>
      </c>
      <c r="B2" s="131" t="s">
        <v>208</v>
      </c>
      <c r="C2" s="131" t="s">
        <v>180</v>
      </c>
      <c r="D2" s="122">
        <f t="shared" ref="D2:D33" si="0">EffectiveDate</f>
        <v>42309</v>
      </c>
      <c r="E2" s="129" t="s">
        <v>211</v>
      </c>
      <c r="F2" s="129" t="s">
        <v>170</v>
      </c>
      <c r="G2" s="129">
        <f>T.5!N22</f>
        <v>4.8346999999999998</v>
      </c>
      <c r="H2" s="129">
        <v>1</v>
      </c>
      <c r="I2" s="129">
        <v>1</v>
      </c>
      <c r="J2" s="129" t="s">
        <v>169</v>
      </c>
      <c r="K2" s="129">
        <v>9</v>
      </c>
    </row>
    <row r="3" spans="1:13">
      <c r="A3" s="131" t="s">
        <v>174</v>
      </c>
      <c r="B3" s="131" t="s">
        <v>208</v>
      </c>
      <c r="C3" s="131" t="s">
        <v>178</v>
      </c>
      <c r="D3" s="122">
        <f t="shared" si="0"/>
        <v>42309</v>
      </c>
      <c r="E3" s="129" t="s">
        <v>210</v>
      </c>
      <c r="F3" s="129" t="s">
        <v>170</v>
      </c>
      <c r="G3" s="130">
        <f>T.5!N25</f>
        <v>-0.6492</v>
      </c>
      <c r="H3" s="129">
        <v>1</v>
      </c>
      <c r="I3" s="129">
        <v>1</v>
      </c>
      <c r="J3" s="129" t="s">
        <v>169</v>
      </c>
      <c r="K3" s="129">
        <v>9</v>
      </c>
    </row>
    <row r="4" spans="1:13">
      <c r="A4" s="131" t="s">
        <v>174</v>
      </c>
      <c r="B4" s="131" t="s">
        <v>208</v>
      </c>
      <c r="C4" s="131" t="s">
        <v>176</v>
      </c>
      <c r="D4" s="122">
        <f t="shared" si="0"/>
        <v>42309</v>
      </c>
      <c r="E4" s="129" t="s">
        <v>209</v>
      </c>
      <c r="F4" s="129" t="s">
        <v>170</v>
      </c>
      <c r="G4" s="130">
        <f>T.5!N32</f>
        <v>0.15266676071712265</v>
      </c>
      <c r="H4" s="129">
        <v>1</v>
      </c>
      <c r="I4" s="129">
        <v>1</v>
      </c>
      <c r="J4" s="129" t="s">
        <v>169</v>
      </c>
      <c r="K4" s="129">
        <v>9</v>
      </c>
    </row>
    <row r="5" spans="1:13">
      <c r="A5" s="119" t="s">
        <v>174</v>
      </c>
      <c r="B5" s="119" t="s">
        <v>208</v>
      </c>
      <c r="C5" s="119" t="s">
        <v>172</v>
      </c>
      <c r="D5" s="118">
        <f t="shared" si="0"/>
        <v>42309</v>
      </c>
      <c r="E5" s="117" t="s">
        <v>207</v>
      </c>
      <c r="F5" s="117" t="s">
        <v>170</v>
      </c>
      <c r="G5" s="117">
        <f>T.5!N28</f>
        <v>0</v>
      </c>
      <c r="H5" s="117">
        <v>1</v>
      </c>
      <c r="I5" s="117">
        <v>1</v>
      </c>
      <c r="J5" s="117" t="s">
        <v>169</v>
      </c>
      <c r="K5" s="117">
        <v>9</v>
      </c>
      <c r="M5" s="1">
        <f>SUM(G2:G5)</f>
        <v>4.3381667607171224</v>
      </c>
    </row>
    <row r="6" spans="1:13">
      <c r="A6" s="128" t="s">
        <v>174</v>
      </c>
      <c r="B6" s="128" t="s">
        <v>206</v>
      </c>
      <c r="C6" s="128" t="s">
        <v>180</v>
      </c>
      <c r="D6" s="113">
        <f t="shared" si="0"/>
        <v>42309</v>
      </c>
      <c r="E6" s="126" t="s">
        <v>200</v>
      </c>
      <c r="F6" s="126" t="s">
        <v>170</v>
      </c>
      <c r="G6" s="126">
        <f>G2</f>
        <v>4.8346999999999998</v>
      </c>
      <c r="H6" s="126">
        <v>1</v>
      </c>
      <c r="I6" s="126">
        <v>1</v>
      </c>
      <c r="J6" s="126" t="s">
        <v>169</v>
      </c>
      <c r="K6" s="126">
        <v>9</v>
      </c>
    </row>
    <row r="7" spans="1:13">
      <c r="A7" s="128" t="s">
        <v>174</v>
      </c>
      <c r="B7" s="128" t="s">
        <v>206</v>
      </c>
      <c r="C7" s="128" t="s">
        <v>178</v>
      </c>
      <c r="D7" s="113">
        <f t="shared" si="0"/>
        <v>42309</v>
      </c>
      <c r="E7" s="126" t="s">
        <v>199</v>
      </c>
      <c r="F7" s="126" t="s">
        <v>170</v>
      </c>
      <c r="G7" s="126">
        <f>G3</f>
        <v>-0.6492</v>
      </c>
      <c r="H7" s="126">
        <v>1</v>
      </c>
      <c r="I7" s="126">
        <v>1</v>
      </c>
      <c r="J7" s="126" t="s">
        <v>169</v>
      </c>
      <c r="K7" s="126">
        <v>9</v>
      </c>
    </row>
    <row r="8" spans="1:13">
      <c r="A8" s="128" t="s">
        <v>174</v>
      </c>
      <c r="B8" s="128" t="s">
        <v>206</v>
      </c>
      <c r="C8" s="128" t="s">
        <v>176</v>
      </c>
      <c r="D8" s="113">
        <f t="shared" si="0"/>
        <v>42309</v>
      </c>
      <c r="E8" s="126" t="s">
        <v>198</v>
      </c>
      <c r="F8" s="126" t="s">
        <v>170</v>
      </c>
      <c r="G8" s="127">
        <f>G4</f>
        <v>0.15266676071712265</v>
      </c>
      <c r="H8" s="126">
        <v>1</v>
      </c>
      <c r="I8" s="126">
        <v>1</v>
      </c>
      <c r="J8" s="126" t="s">
        <v>169</v>
      </c>
      <c r="K8" s="126">
        <v>9</v>
      </c>
    </row>
    <row r="9" spans="1:13">
      <c r="A9" s="110" t="s">
        <v>174</v>
      </c>
      <c r="B9" s="110" t="s">
        <v>206</v>
      </c>
      <c r="C9" s="110" t="s">
        <v>172</v>
      </c>
      <c r="D9" s="109">
        <f t="shared" si="0"/>
        <v>42309</v>
      </c>
      <c r="E9" s="108" t="s">
        <v>196</v>
      </c>
      <c r="F9" s="108" t="s">
        <v>170</v>
      </c>
      <c r="G9" s="108">
        <f>G5</f>
        <v>0</v>
      </c>
      <c r="H9" s="108">
        <v>1</v>
      </c>
      <c r="I9" s="108">
        <v>1</v>
      </c>
      <c r="J9" s="108" t="s">
        <v>169</v>
      </c>
      <c r="K9" s="108">
        <v>9</v>
      </c>
      <c r="M9" s="1">
        <f>SUM(G6:G9)</f>
        <v>4.3381667607171224</v>
      </c>
    </row>
    <row r="10" spans="1:13">
      <c r="A10" s="131" t="s">
        <v>174</v>
      </c>
      <c r="B10" s="131" t="s">
        <v>202</v>
      </c>
      <c r="C10" s="131" t="s">
        <v>180</v>
      </c>
      <c r="D10" s="122">
        <f t="shared" si="0"/>
        <v>42309</v>
      </c>
      <c r="E10" s="129" t="s">
        <v>205</v>
      </c>
      <c r="F10" s="129" t="s">
        <v>170</v>
      </c>
      <c r="G10" s="129">
        <f>T.5!R22</f>
        <v>3.5137999999999998</v>
      </c>
      <c r="H10" s="129">
        <v>1</v>
      </c>
      <c r="I10" s="129">
        <v>1</v>
      </c>
      <c r="J10" s="129" t="s">
        <v>169</v>
      </c>
      <c r="K10" s="129">
        <v>9</v>
      </c>
    </row>
    <row r="11" spans="1:13">
      <c r="A11" s="131" t="s">
        <v>174</v>
      </c>
      <c r="B11" s="131" t="s">
        <v>202</v>
      </c>
      <c r="C11" s="131" t="s">
        <v>178</v>
      </c>
      <c r="D11" s="122">
        <f t="shared" si="0"/>
        <v>42309</v>
      </c>
      <c r="E11" s="129" t="s">
        <v>204</v>
      </c>
      <c r="F11" s="129" t="s">
        <v>170</v>
      </c>
      <c r="G11" s="130">
        <f>G3</f>
        <v>-0.6492</v>
      </c>
      <c r="H11" s="129">
        <v>1</v>
      </c>
      <c r="I11" s="129">
        <v>1</v>
      </c>
      <c r="J11" s="129" t="s">
        <v>169</v>
      </c>
      <c r="K11" s="129">
        <v>9</v>
      </c>
    </row>
    <row r="12" spans="1:13">
      <c r="A12" s="131" t="s">
        <v>174</v>
      </c>
      <c r="B12" s="131" t="s">
        <v>202</v>
      </c>
      <c r="C12" s="131" t="s">
        <v>176</v>
      </c>
      <c r="D12" s="122">
        <f t="shared" si="0"/>
        <v>42309</v>
      </c>
      <c r="E12" s="129" t="s">
        <v>203</v>
      </c>
      <c r="F12" s="129" t="s">
        <v>170</v>
      </c>
      <c r="G12" s="130">
        <f>T.5!R32</f>
        <v>0.15266676071712265</v>
      </c>
      <c r="H12" s="129">
        <v>1</v>
      </c>
      <c r="I12" s="129">
        <v>1</v>
      </c>
      <c r="J12" s="129" t="s">
        <v>169</v>
      </c>
      <c r="K12" s="129">
        <v>9</v>
      </c>
      <c r="M12" s="61"/>
    </row>
    <row r="13" spans="1:13">
      <c r="A13" s="119" t="s">
        <v>174</v>
      </c>
      <c r="B13" s="119" t="s">
        <v>202</v>
      </c>
      <c r="C13" s="119" t="s">
        <v>172</v>
      </c>
      <c r="D13" s="118">
        <f t="shared" si="0"/>
        <v>42309</v>
      </c>
      <c r="E13" s="117" t="s">
        <v>201</v>
      </c>
      <c r="F13" s="117" t="s">
        <v>170</v>
      </c>
      <c r="G13" s="117">
        <f>T.5!R28</f>
        <v>0</v>
      </c>
      <c r="H13" s="117">
        <v>1</v>
      </c>
      <c r="I13" s="117">
        <v>1</v>
      </c>
      <c r="J13" s="117" t="s">
        <v>169</v>
      </c>
      <c r="K13" s="117">
        <v>9</v>
      </c>
      <c r="M13" s="1">
        <f>SUM(G10:G13)</f>
        <v>3.0172667607171224</v>
      </c>
    </row>
    <row r="14" spans="1:13">
      <c r="A14" s="128" t="s">
        <v>174</v>
      </c>
      <c r="B14" s="128" t="s">
        <v>197</v>
      </c>
      <c r="C14" s="128" t="s">
        <v>180</v>
      </c>
      <c r="D14" s="113">
        <f t="shared" si="0"/>
        <v>42309</v>
      </c>
      <c r="E14" s="126" t="s">
        <v>200</v>
      </c>
      <c r="F14" s="126" t="s">
        <v>170</v>
      </c>
      <c r="G14" s="126">
        <f>G2</f>
        <v>4.8346999999999998</v>
      </c>
      <c r="H14" s="126">
        <v>1</v>
      </c>
      <c r="I14" s="126">
        <v>1</v>
      </c>
      <c r="J14" s="126" t="s">
        <v>169</v>
      </c>
      <c r="K14" s="126">
        <v>9</v>
      </c>
    </row>
    <row r="15" spans="1:13">
      <c r="A15" s="128" t="s">
        <v>174</v>
      </c>
      <c r="B15" s="128" t="s">
        <v>197</v>
      </c>
      <c r="C15" s="128" t="s">
        <v>178</v>
      </c>
      <c r="D15" s="113">
        <f t="shared" si="0"/>
        <v>42309</v>
      </c>
      <c r="E15" s="126" t="s">
        <v>199</v>
      </c>
      <c r="F15" s="126" t="s">
        <v>170</v>
      </c>
      <c r="G15" s="126">
        <f>G3</f>
        <v>-0.6492</v>
      </c>
      <c r="H15" s="126">
        <v>1</v>
      </c>
      <c r="I15" s="126">
        <v>1</v>
      </c>
      <c r="J15" s="126" t="s">
        <v>169</v>
      </c>
      <c r="K15" s="126">
        <v>9</v>
      </c>
    </row>
    <row r="16" spans="1:13">
      <c r="A16" s="128" t="s">
        <v>174</v>
      </c>
      <c r="B16" s="128" t="s">
        <v>197</v>
      </c>
      <c r="C16" s="128" t="s">
        <v>176</v>
      </c>
      <c r="D16" s="113">
        <f t="shared" si="0"/>
        <v>42309</v>
      </c>
      <c r="E16" s="126" t="s">
        <v>198</v>
      </c>
      <c r="F16" s="126" t="s">
        <v>170</v>
      </c>
      <c r="G16" s="127">
        <f>G4</f>
        <v>0.15266676071712265</v>
      </c>
      <c r="H16" s="126">
        <v>1</v>
      </c>
      <c r="I16" s="126">
        <v>1</v>
      </c>
      <c r="J16" s="126" t="s">
        <v>169</v>
      </c>
      <c r="K16" s="126">
        <v>9</v>
      </c>
    </row>
    <row r="17" spans="1:13">
      <c r="A17" s="110" t="s">
        <v>174</v>
      </c>
      <c r="B17" s="110" t="s">
        <v>197</v>
      </c>
      <c r="C17" s="110" t="s">
        <v>172</v>
      </c>
      <c r="D17" s="109">
        <f t="shared" si="0"/>
        <v>42309</v>
      </c>
      <c r="E17" s="108" t="s">
        <v>196</v>
      </c>
      <c r="F17" s="108" t="s">
        <v>170</v>
      </c>
      <c r="G17" s="108">
        <f>G5</f>
        <v>0</v>
      </c>
      <c r="H17" s="108">
        <v>1</v>
      </c>
      <c r="I17" s="108">
        <v>1</v>
      </c>
      <c r="J17" s="108" t="s">
        <v>169</v>
      </c>
      <c r="K17" s="108">
        <v>9</v>
      </c>
      <c r="M17" s="1">
        <f>SUM(G14:G17)</f>
        <v>4.3381667607171224</v>
      </c>
    </row>
    <row r="18" spans="1:13">
      <c r="A18" s="125" t="s">
        <v>174</v>
      </c>
      <c r="B18" s="125" t="s">
        <v>192</v>
      </c>
      <c r="C18" s="125" t="s">
        <v>180</v>
      </c>
      <c r="D18" s="122">
        <f t="shared" si="0"/>
        <v>42309</v>
      </c>
      <c r="E18" s="124" t="s">
        <v>195</v>
      </c>
      <c r="F18" s="124" t="s">
        <v>170</v>
      </c>
      <c r="G18" s="120">
        <f>G2</f>
        <v>4.8346999999999998</v>
      </c>
      <c r="H18" s="124">
        <v>1</v>
      </c>
      <c r="I18" s="124">
        <v>1</v>
      </c>
      <c r="J18" s="124" t="s">
        <v>169</v>
      </c>
      <c r="K18" s="124">
        <v>9</v>
      </c>
    </row>
    <row r="19" spans="1:13">
      <c r="A19" s="123" t="s">
        <v>174</v>
      </c>
      <c r="B19" s="123" t="s">
        <v>192</v>
      </c>
      <c r="C19" s="123" t="s">
        <v>178</v>
      </c>
      <c r="D19" s="122">
        <f t="shared" si="0"/>
        <v>42309</v>
      </c>
      <c r="E19" s="120" t="s">
        <v>194</v>
      </c>
      <c r="F19" s="120" t="s">
        <v>170</v>
      </c>
      <c r="G19" s="120">
        <f>G3</f>
        <v>-0.6492</v>
      </c>
      <c r="H19" s="120">
        <v>1</v>
      </c>
      <c r="I19" s="120">
        <v>1</v>
      </c>
      <c r="J19" s="120" t="s">
        <v>169</v>
      </c>
      <c r="K19" s="120">
        <v>9</v>
      </c>
    </row>
    <row r="20" spans="1:13">
      <c r="A20" s="123" t="s">
        <v>174</v>
      </c>
      <c r="B20" s="123" t="s">
        <v>192</v>
      </c>
      <c r="C20" s="123" t="s">
        <v>176</v>
      </c>
      <c r="D20" s="122">
        <f t="shared" si="0"/>
        <v>42309</v>
      </c>
      <c r="E20" s="120" t="s">
        <v>193</v>
      </c>
      <c r="F20" s="120" t="s">
        <v>170</v>
      </c>
      <c r="G20" s="121">
        <f>G4</f>
        <v>0.15266676071712265</v>
      </c>
      <c r="H20" s="120">
        <v>1</v>
      </c>
      <c r="I20" s="120">
        <v>1</v>
      </c>
      <c r="J20" s="120" t="s">
        <v>169</v>
      </c>
      <c r="K20" s="120">
        <v>9</v>
      </c>
    </row>
    <row r="21" spans="1:13">
      <c r="A21" s="119" t="s">
        <v>174</v>
      </c>
      <c r="B21" s="119" t="s">
        <v>192</v>
      </c>
      <c r="C21" s="119" t="s">
        <v>172</v>
      </c>
      <c r="D21" s="118">
        <f t="shared" si="0"/>
        <v>42309</v>
      </c>
      <c r="E21" s="117" t="s">
        <v>191</v>
      </c>
      <c r="F21" s="117" t="s">
        <v>170</v>
      </c>
      <c r="G21" s="120">
        <f>G5</f>
        <v>0</v>
      </c>
      <c r="H21" s="117">
        <v>1</v>
      </c>
      <c r="I21" s="117">
        <v>1</v>
      </c>
      <c r="J21" s="117" t="s">
        <v>169</v>
      </c>
      <c r="K21" s="117">
        <v>9</v>
      </c>
      <c r="M21" s="1">
        <f>SUM(G18:G21)</f>
        <v>4.3381667607171224</v>
      </c>
    </row>
    <row r="22" spans="1:13">
      <c r="A22" s="116" t="s">
        <v>174</v>
      </c>
      <c r="B22" s="116" t="s">
        <v>187</v>
      </c>
      <c r="C22" s="116" t="s">
        <v>180</v>
      </c>
      <c r="D22" s="113">
        <f t="shared" si="0"/>
        <v>42309</v>
      </c>
      <c r="E22" s="115" t="s">
        <v>190</v>
      </c>
      <c r="F22" s="115" t="s">
        <v>170</v>
      </c>
      <c r="G22" s="115">
        <f>G10</f>
        <v>3.5137999999999998</v>
      </c>
      <c r="H22" s="115">
        <v>1</v>
      </c>
      <c r="I22" s="115">
        <v>1</v>
      </c>
      <c r="J22" s="115" t="s">
        <v>169</v>
      </c>
      <c r="K22" s="115">
        <v>9</v>
      </c>
    </row>
    <row r="23" spans="1:13">
      <c r="A23" s="114" t="s">
        <v>174</v>
      </c>
      <c r="B23" s="114" t="s">
        <v>187</v>
      </c>
      <c r="C23" s="114" t="s">
        <v>178</v>
      </c>
      <c r="D23" s="113">
        <f t="shared" si="0"/>
        <v>42309</v>
      </c>
      <c r="E23" s="111" t="s">
        <v>189</v>
      </c>
      <c r="F23" s="111" t="s">
        <v>170</v>
      </c>
      <c r="G23" s="112">
        <f>G3</f>
        <v>-0.6492</v>
      </c>
      <c r="H23" s="111">
        <v>1</v>
      </c>
      <c r="I23" s="111">
        <v>1</v>
      </c>
      <c r="J23" s="111" t="s">
        <v>169</v>
      </c>
      <c r="K23" s="111">
        <v>9</v>
      </c>
    </row>
    <row r="24" spans="1:13">
      <c r="A24" s="114" t="s">
        <v>174</v>
      </c>
      <c r="B24" s="114" t="s">
        <v>187</v>
      </c>
      <c r="C24" s="114" t="s">
        <v>176</v>
      </c>
      <c r="D24" s="113">
        <f t="shared" si="0"/>
        <v>42309</v>
      </c>
      <c r="E24" s="111" t="s">
        <v>188</v>
      </c>
      <c r="F24" s="111" t="s">
        <v>170</v>
      </c>
      <c r="G24" s="112">
        <f>G12</f>
        <v>0.15266676071712265</v>
      </c>
      <c r="H24" s="111">
        <v>1</v>
      </c>
      <c r="I24" s="111">
        <v>1</v>
      </c>
      <c r="J24" s="111" t="s">
        <v>169</v>
      </c>
      <c r="K24" s="111">
        <v>9</v>
      </c>
    </row>
    <row r="25" spans="1:13">
      <c r="A25" s="110" t="s">
        <v>174</v>
      </c>
      <c r="B25" s="110" t="s">
        <v>187</v>
      </c>
      <c r="C25" s="110" t="s">
        <v>172</v>
      </c>
      <c r="D25" s="109">
        <f t="shared" si="0"/>
        <v>42309</v>
      </c>
      <c r="E25" s="108" t="s">
        <v>186</v>
      </c>
      <c r="F25" s="108" t="s">
        <v>170</v>
      </c>
      <c r="G25" s="108">
        <f>G13</f>
        <v>0</v>
      </c>
      <c r="H25" s="108">
        <v>1</v>
      </c>
      <c r="I25" s="108">
        <v>1</v>
      </c>
      <c r="J25" s="108" t="s">
        <v>169</v>
      </c>
      <c r="K25" s="108">
        <v>9</v>
      </c>
      <c r="M25" s="1">
        <f>SUM(G22:G25)</f>
        <v>3.0172667607171224</v>
      </c>
    </row>
    <row r="26" spans="1:13">
      <c r="A26" s="125" t="s">
        <v>174</v>
      </c>
      <c r="B26" s="125" t="s">
        <v>182</v>
      </c>
      <c r="C26" s="125" t="s">
        <v>180</v>
      </c>
      <c r="D26" s="122">
        <f t="shared" si="0"/>
        <v>42309</v>
      </c>
      <c r="E26" s="124" t="s">
        <v>185</v>
      </c>
      <c r="F26" s="124" t="s">
        <v>170</v>
      </c>
      <c r="G26" s="124">
        <f>G10</f>
        <v>3.5137999999999998</v>
      </c>
      <c r="H26" s="124">
        <v>1</v>
      </c>
      <c r="I26" s="124">
        <v>1</v>
      </c>
      <c r="J26" s="124" t="s">
        <v>169</v>
      </c>
      <c r="K26" s="124">
        <v>9</v>
      </c>
    </row>
    <row r="27" spans="1:13">
      <c r="A27" s="123" t="s">
        <v>174</v>
      </c>
      <c r="B27" s="123" t="s">
        <v>182</v>
      </c>
      <c r="C27" s="123" t="s">
        <v>178</v>
      </c>
      <c r="D27" s="122">
        <f t="shared" si="0"/>
        <v>42309</v>
      </c>
      <c r="E27" s="120" t="s">
        <v>184</v>
      </c>
      <c r="F27" s="120" t="s">
        <v>170</v>
      </c>
      <c r="G27" s="120">
        <f>G11</f>
        <v>-0.6492</v>
      </c>
      <c r="H27" s="120">
        <v>1</v>
      </c>
      <c r="I27" s="120">
        <v>1</v>
      </c>
      <c r="J27" s="120" t="s">
        <v>169</v>
      </c>
      <c r="K27" s="120">
        <v>9</v>
      </c>
    </row>
    <row r="28" spans="1:13">
      <c r="A28" s="123" t="s">
        <v>174</v>
      </c>
      <c r="B28" s="123" t="s">
        <v>182</v>
      </c>
      <c r="C28" s="123" t="s">
        <v>176</v>
      </c>
      <c r="D28" s="122">
        <f t="shared" si="0"/>
        <v>42309</v>
      </c>
      <c r="E28" s="120" t="s">
        <v>183</v>
      </c>
      <c r="F28" s="120" t="s">
        <v>170</v>
      </c>
      <c r="G28" s="121">
        <f>G12</f>
        <v>0.15266676071712265</v>
      </c>
      <c r="H28" s="120">
        <v>1</v>
      </c>
      <c r="I28" s="120">
        <v>1</v>
      </c>
      <c r="J28" s="120" t="s">
        <v>169</v>
      </c>
      <c r="K28" s="120">
        <v>9</v>
      </c>
    </row>
    <row r="29" spans="1:13">
      <c r="A29" s="119" t="s">
        <v>174</v>
      </c>
      <c r="B29" s="119" t="s">
        <v>182</v>
      </c>
      <c r="C29" s="119" t="s">
        <v>172</v>
      </c>
      <c r="D29" s="118">
        <f t="shared" si="0"/>
        <v>42309</v>
      </c>
      <c r="E29" s="117" t="s">
        <v>181</v>
      </c>
      <c r="F29" s="117" t="s">
        <v>170</v>
      </c>
      <c r="G29" s="117">
        <f>G13</f>
        <v>0</v>
      </c>
      <c r="H29" s="117">
        <v>1</v>
      </c>
      <c r="I29" s="117">
        <v>1</v>
      </c>
      <c r="J29" s="117" t="s">
        <v>169</v>
      </c>
      <c r="K29" s="117">
        <v>9</v>
      </c>
      <c r="M29" s="1">
        <f>SUM(G26:G29)</f>
        <v>3.0172667607171224</v>
      </c>
    </row>
    <row r="30" spans="1:13">
      <c r="A30" s="116" t="s">
        <v>174</v>
      </c>
      <c r="B30" s="116" t="s">
        <v>173</v>
      </c>
      <c r="C30" s="116" t="s">
        <v>180</v>
      </c>
      <c r="D30" s="113">
        <f t="shared" si="0"/>
        <v>42309</v>
      </c>
      <c r="E30" s="115" t="s">
        <v>179</v>
      </c>
      <c r="F30" s="115" t="s">
        <v>170</v>
      </c>
      <c r="G30" s="111">
        <f>G10</f>
        <v>3.5137999999999998</v>
      </c>
      <c r="H30" s="115">
        <v>1</v>
      </c>
      <c r="I30" s="115">
        <v>1</v>
      </c>
      <c r="J30" s="115" t="s">
        <v>169</v>
      </c>
      <c r="K30" s="115">
        <v>9</v>
      </c>
    </row>
    <row r="31" spans="1:13">
      <c r="A31" s="114" t="s">
        <v>174</v>
      </c>
      <c r="B31" s="114" t="s">
        <v>173</v>
      </c>
      <c r="C31" s="114" t="s">
        <v>178</v>
      </c>
      <c r="D31" s="113">
        <f t="shared" si="0"/>
        <v>42309</v>
      </c>
      <c r="E31" s="111" t="s">
        <v>177</v>
      </c>
      <c r="F31" s="111" t="s">
        <v>170</v>
      </c>
      <c r="G31" s="111">
        <f>G11</f>
        <v>-0.6492</v>
      </c>
      <c r="H31" s="111">
        <v>1</v>
      </c>
      <c r="I31" s="111">
        <v>1</v>
      </c>
      <c r="J31" s="111" t="s">
        <v>169</v>
      </c>
      <c r="K31" s="111">
        <v>9</v>
      </c>
    </row>
    <row r="32" spans="1:13">
      <c r="A32" s="114" t="s">
        <v>174</v>
      </c>
      <c r="B32" s="114" t="s">
        <v>173</v>
      </c>
      <c r="C32" s="114" t="s">
        <v>176</v>
      </c>
      <c r="D32" s="113">
        <f t="shared" si="0"/>
        <v>42309</v>
      </c>
      <c r="E32" s="111" t="s">
        <v>175</v>
      </c>
      <c r="F32" s="111" t="s">
        <v>170</v>
      </c>
      <c r="G32" s="112">
        <f>G16</f>
        <v>0.15266676071712265</v>
      </c>
      <c r="H32" s="111">
        <v>1</v>
      </c>
      <c r="I32" s="111">
        <v>1</v>
      </c>
      <c r="J32" s="111" t="s">
        <v>169</v>
      </c>
      <c r="K32" s="111">
        <v>9</v>
      </c>
    </row>
    <row r="33" spans="1:13">
      <c r="A33" s="110" t="s">
        <v>174</v>
      </c>
      <c r="B33" s="110" t="s">
        <v>173</v>
      </c>
      <c r="C33" s="110" t="s">
        <v>172</v>
      </c>
      <c r="D33" s="109">
        <f t="shared" si="0"/>
        <v>42309</v>
      </c>
      <c r="E33" s="108" t="s">
        <v>171</v>
      </c>
      <c r="F33" s="108" t="s">
        <v>170</v>
      </c>
      <c r="G33" s="108">
        <f>G13</f>
        <v>0</v>
      </c>
      <c r="H33" s="108">
        <v>1</v>
      </c>
      <c r="I33" s="108">
        <v>1</v>
      </c>
      <c r="J33" s="108" t="s">
        <v>169</v>
      </c>
      <c r="K33" s="108">
        <v>9</v>
      </c>
      <c r="M33" s="1">
        <f>SUM(G30:G33)</f>
        <v>3.0172667607171224</v>
      </c>
    </row>
  </sheetData>
  <pageMargins left="0.38" right="0.41" top="0.61" bottom="0.47" header="0.28999999999999998" footer="0.2"/>
  <pageSetup scale="90" orientation="landscape" r:id="rId1"/>
  <headerFooter alignWithMargins="0"/>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
  <sheetViews>
    <sheetView topLeftCell="F1" zoomScale="145" zoomScaleNormal="145" workbookViewId="0">
      <selection activeCell="E33" sqref="E33"/>
    </sheetView>
  </sheetViews>
  <sheetFormatPr defaultColWidth="9.140625" defaultRowHeight="12.75"/>
  <cols>
    <col min="1" max="16384" width="9.140625" style="22"/>
  </cols>
  <sheetData/>
  <printOptions horizontalCentered="1"/>
  <pageMargins left="0.25" right="0.25" top="0.75" bottom="0.75" header="0.5" footer="0.5"/>
  <pageSetup orientation="landscape" r:id="rId1"/>
  <headerFooter alignWithMargins="0"/>
  <customProperties>
    <customPr name="_pios_id" r:id="rId2"/>
  </customPropertie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K62"/>
  <sheetViews>
    <sheetView zoomScale="80" zoomScaleNormal="80" workbookViewId="0">
      <selection activeCell="H16" sqref="H16"/>
    </sheetView>
  </sheetViews>
  <sheetFormatPr defaultColWidth="9.140625" defaultRowHeight="12.75"/>
  <cols>
    <col min="1" max="1" width="30.5703125" style="22" bestFit="1" customWidth="1"/>
    <col min="2" max="3" width="10.85546875" style="361" bestFit="1" customWidth="1"/>
    <col min="4" max="4" width="9.140625" style="22"/>
    <col min="5" max="5" width="11" style="22" bestFit="1" customWidth="1"/>
    <col min="6" max="6" width="11.7109375" style="360" bestFit="1" customWidth="1"/>
    <col min="7" max="7" width="9.140625" style="22"/>
    <col min="8" max="8" width="13.85546875" style="22" bestFit="1" customWidth="1"/>
    <col min="9" max="16384" width="9.140625" style="22"/>
  </cols>
  <sheetData>
    <row r="1" spans="1:8" ht="15">
      <c r="A1" s="379" t="s">
        <v>459</v>
      </c>
    </row>
    <row r="2" spans="1:8" ht="15">
      <c r="A2" s="379" t="s">
        <v>458</v>
      </c>
    </row>
    <row r="3" spans="1:8" ht="15">
      <c r="A3" s="379"/>
    </row>
    <row r="4" spans="1:8">
      <c r="A4" s="378" t="s">
        <v>457</v>
      </c>
    </row>
    <row r="7" spans="1:8">
      <c r="A7" s="377">
        <v>42125</v>
      </c>
      <c r="B7" s="22"/>
      <c r="C7" s="22"/>
      <c r="F7" s="22"/>
    </row>
    <row r="8" spans="1:8">
      <c r="B8" s="364"/>
      <c r="C8" s="364"/>
      <c r="D8" s="309"/>
      <c r="E8" s="309"/>
      <c r="F8" s="376" t="s">
        <v>454</v>
      </c>
    </row>
    <row r="9" spans="1:8">
      <c r="A9" s="312" t="s">
        <v>456</v>
      </c>
      <c r="B9" s="375" t="s">
        <v>455</v>
      </c>
      <c r="C9" s="375" t="s">
        <v>454</v>
      </c>
      <c r="D9" s="374" t="s">
        <v>453</v>
      </c>
      <c r="E9" s="374" t="s">
        <v>452</v>
      </c>
      <c r="F9" s="373" t="s">
        <v>451</v>
      </c>
    </row>
    <row r="10" spans="1:8">
      <c r="A10" s="22" t="s">
        <v>450</v>
      </c>
      <c r="B10" s="367">
        <v>798065</v>
      </c>
      <c r="C10" s="1080">
        <v>271705</v>
      </c>
      <c r="D10" s="372">
        <v>3.0960000000000001</v>
      </c>
      <c r="E10" s="366">
        <f t="shared" ref="E10:E18" si="0">ROUND(C10/B10,2)</f>
        <v>0.34</v>
      </c>
      <c r="F10" s="371">
        <f>ROUND(C10*D10,0)</f>
        <v>841199</v>
      </c>
    </row>
    <row r="11" spans="1:8">
      <c r="A11" s="22" t="s">
        <v>449</v>
      </c>
      <c r="B11" s="367">
        <v>313035</v>
      </c>
      <c r="C11" s="1080">
        <v>113233</v>
      </c>
      <c r="D11" s="372">
        <v>3.0950000000000002</v>
      </c>
      <c r="E11" s="366">
        <f t="shared" si="0"/>
        <v>0.36</v>
      </c>
      <c r="F11" s="371">
        <f t="shared" ref="F11:F17" si="1">ROUND(C11*D11,0)</f>
        <v>350456</v>
      </c>
    </row>
    <row r="12" spans="1:8">
      <c r="A12" s="22" t="s">
        <v>448</v>
      </c>
      <c r="B12" s="367">
        <v>462890</v>
      </c>
      <c r="C12" s="1080">
        <v>154289</v>
      </c>
      <c r="D12" s="372">
        <v>3.0369999999999999</v>
      </c>
      <c r="E12" s="366">
        <f t="shared" si="0"/>
        <v>0.33</v>
      </c>
      <c r="F12" s="371">
        <f t="shared" si="1"/>
        <v>468576</v>
      </c>
    </row>
    <row r="13" spans="1:8">
      <c r="A13" s="22" t="s">
        <v>447</v>
      </c>
      <c r="B13" s="367">
        <v>227448</v>
      </c>
      <c r="C13" s="1080">
        <v>77708</v>
      </c>
      <c r="D13" s="372">
        <v>3.1219999999999999</v>
      </c>
      <c r="E13" s="366">
        <f t="shared" si="0"/>
        <v>0.34</v>
      </c>
      <c r="F13" s="371">
        <f t="shared" si="1"/>
        <v>242604</v>
      </c>
    </row>
    <row r="14" spans="1:8">
      <c r="A14" s="22" t="s">
        <v>446</v>
      </c>
      <c r="B14" s="367">
        <v>2752325</v>
      </c>
      <c r="C14" s="1080">
        <v>1264719</v>
      </c>
      <c r="D14" s="372">
        <v>3.6019999999999999</v>
      </c>
      <c r="E14" s="366">
        <f t="shared" si="0"/>
        <v>0.46</v>
      </c>
      <c r="F14" s="371">
        <f t="shared" si="1"/>
        <v>4555518</v>
      </c>
    </row>
    <row r="15" spans="1:8">
      <c r="A15" s="22" t="s">
        <v>379</v>
      </c>
      <c r="B15" s="367">
        <v>1313538</v>
      </c>
      <c r="C15" s="1080">
        <v>417691</v>
      </c>
      <c r="D15" s="372">
        <v>2.9940000000000002</v>
      </c>
      <c r="E15" s="366">
        <f t="shared" si="0"/>
        <v>0.32</v>
      </c>
      <c r="F15" s="371">
        <f t="shared" si="1"/>
        <v>1250567</v>
      </c>
    </row>
    <row r="16" spans="1:8">
      <c r="A16" s="22" t="s">
        <v>381</v>
      </c>
      <c r="B16" s="367">
        <v>3841150</v>
      </c>
      <c r="C16" s="367">
        <v>1229168</v>
      </c>
      <c r="D16" s="372">
        <v>2.589</v>
      </c>
      <c r="E16" s="366">
        <f t="shared" si="0"/>
        <v>0.32</v>
      </c>
      <c r="F16" s="371">
        <f t="shared" si="1"/>
        <v>3182316</v>
      </c>
      <c r="G16" s="22">
        <v>2.589</v>
      </c>
      <c r="H16" s="1081">
        <f>G16*C16</f>
        <v>3182315.952</v>
      </c>
    </row>
    <row r="17" spans="1:8">
      <c r="A17" s="22" t="s">
        <v>445</v>
      </c>
      <c r="B17" s="367">
        <v>1793750</v>
      </c>
      <c r="C17" s="1080">
        <v>760764</v>
      </c>
      <c r="D17" s="372">
        <v>3.548</v>
      </c>
      <c r="E17" s="366">
        <f t="shared" si="0"/>
        <v>0.42</v>
      </c>
      <c r="F17" s="371">
        <f t="shared" si="1"/>
        <v>2699191</v>
      </c>
    </row>
    <row r="18" spans="1:8">
      <c r="A18" s="22" t="s">
        <v>245</v>
      </c>
      <c r="B18" s="362">
        <f>SUM(B10:B17)</f>
        <v>11502201</v>
      </c>
      <c r="C18" s="362">
        <f>SUM(C10:C17)</f>
        <v>4289277</v>
      </c>
      <c r="D18" s="981">
        <f>ROUND(F18/C18,3)</f>
        <v>3.1680000000000001</v>
      </c>
      <c r="E18" s="366">
        <f t="shared" si="0"/>
        <v>0.37</v>
      </c>
      <c r="F18" s="370">
        <f>SUM(F10:F17)</f>
        <v>13590427</v>
      </c>
      <c r="H18" s="369"/>
    </row>
    <row r="19" spans="1:8">
      <c r="B19" s="364"/>
      <c r="C19" s="364"/>
      <c r="D19" s="309"/>
      <c r="E19" s="309"/>
      <c r="F19" s="368"/>
    </row>
    <row r="20" spans="1:8">
      <c r="A20" s="22" t="s">
        <v>444</v>
      </c>
      <c r="B20" s="364"/>
      <c r="C20" s="364"/>
      <c r="D20" s="309"/>
      <c r="E20" s="309"/>
      <c r="F20" s="368"/>
    </row>
    <row r="21" spans="1:8">
      <c r="A21" s="22" t="s">
        <v>443</v>
      </c>
      <c r="B21" s="364">
        <f>B10+B11+B12+B13+B14+B17</f>
        <v>6347513</v>
      </c>
      <c r="C21" s="364">
        <f>C10+C11+C12+C13+C14+C17</f>
        <v>2642418</v>
      </c>
      <c r="D21" s="365">
        <f>ROUND(F21/C21,3)</f>
        <v>3.4660000000000002</v>
      </c>
      <c r="E21" s="309"/>
      <c r="F21" s="364">
        <f>F10+F11+F12+F13+F14+F17</f>
        <v>9157544</v>
      </c>
    </row>
    <row r="22" spans="1:8">
      <c r="A22" s="22" t="s">
        <v>381</v>
      </c>
      <c r="B22" s="364">
        <f>B16</f>
        <v>3841150</v>
      </c>
      <c r="C22" s="364">
        <f>C16</f>
        <v>1229168</v>
      </c>
      <c r="D22" s="365">
        <f>ROUND(F22/C22,3)</f>
        <v>2.589</v>
      </c>
      <c r="E22" s="366"/>
      <c r="F22" s="364">
        <f>F16</f>
        <v>3182316</v>
      </c>
    </row>
    <row r="23" spans="1:8">
      <c r="A23" s="22" t="s">
        <v>379</v>
      </c>
      <c r="B23" s="364">
        <f>B15</f>
        <v>1313538</v>
      </c>
      <c r="C23" s="364">
        <f>C15</f>
        <v>417691</v>
      </c>
      <c r="D23" s="365">
        <f>IFERROR(ROUND(F23/C23,3),0)</f>
        <v>2.9940000000000002</v>
      </c>
      <c r="E23" s="309"/>
      <c r="F23" s="364">
        <f>F15</f>
        <v>1250567</v>
      </c>
    </row>
    <row r="24" spans="1:8">
      <c r="A24" s="22" t="s">
        <v>245</v>
      </c>
      <c r="B24" s="362">
        <f>SUM(B21:B23)</f>
        <v>11502201</v>
      </c>
      <c r="C24" s="362">
        <f>SUM(C21:C23)</f>
        <v>4289277</v>
      </c>
      <c r="D24" s="363">
        <f>ROUND(F24/C24,3)</f>
        <v>3.1680000000000001</v>
      </c>
      <c r="E24" s="309"/>
      <c r="F24" s="362">
        <f>SUM(F21:F23)</f>
        <v>13590427</v>
      </c>
    </row>
    <row r="31" spans="1:8">
      <c r="B31" s="22"/>
      <c r="C31" s="22"/>
    </row>
    <row r="32" spans="1:8">
      <c r="B32" s="22"/>
      <c r="C32" s="22"/>
    </row>
    <row r="33" spans="1:11">
      <c r="A33" s="360"/>
      <c r="B33" s="360"/>
      <c r="C33" s="360"/>
      <c r="D33" s="360"/>
      <c r="E33" s="360"/>
    </row>
    <row r="34" spans="1:11">
      <c r="A34" s="360"/>
      <c r="B34" s="360"/>
      <c r="C34" s="360"/>
      <c r="D34" s="360"/>
      <c r="E34" s="360"/>
    </row>
    <row r="35" spans="1:11">
      <c r="A35" s="360"/>
      <c r="B35" s="360"/>
      <c r="C35" s="360"/>
      <c r="D35" s="360"/>
      <c r="E35" s="360"/>
    </row>
    <row r="36" spans="1:11">
      <c r="A36" s="360"/>
      <c r="B36" s="360"/>
      <c r="C36" s="360"/>
      <c r="D36" s="360"/>
      <c r="E36" s="360"/>
    </row>
    <row r="37" spans="1:11">
      <c r="A37" s="360"/>
      <c r="B37" s="360"/>
      <c r="C37" s="360"/>
      <c r="D37" s="360"/>
      <c r="E37" s="360"/>
    </row>
    <row r="38" spans="1:11">
      <c r="A38" s="360"/>
      <c r="B38" s="360"/>
      <c r="C38" s="360"/>
      <c r="D38" s="360"/>
      <c r="E38" s="360"/>
    </row>
    <row r="39" spans="1:11">
      <c r="A39" s="360"/>
      <c r="B39" s="360"/>
      <c r="C39" s="360"/>
      <c r="D39" s="360"/>
      <c r="E39" s="360"/>
    </row>
    <row r="40" spans="1:11">
      <c r="A40" s="360"/>
      <c r="B40" s="360"/>
      <c r="C40" s="360"/>
      <c r="D40" s="360"/>
      <c r="E40" s="360"/>
    </row>
    <row r="41" spans="1:11">
      <c r="A41" s="360"/>
      <c r="B41" s="360"/>
      <c r="C41" s="360"/>
      <c r="D41" s="360"/>
      <c r="E41" s="360"/>
    </row>
    <row r="42" spans="1:11">
      <c r="A42" s="360"/>
      <c r="B42" s="360"/>
      <c r="C42" s="360"/>
      <c r="D42" s="360"/>
      <c r="E42" s="360"/>
      <c r="G42" s="360"/>
      <c r="H42" s="360"/>
      <c r="I42" s="360"/>
      <c r="J42" s="360"/>
      <c r="K42" s="360"/>
    </row>
    <row r="43" spans="1:11">
      <c r="A43" s="360"/>
      <c r="B43" s="360"/>
      <c r="C43" s="360"/>
      <c r="D43" s="360"/>
      <c r="E43" s="360"/>
      <c r="G43" s="360"/>
      <c r="H43" s="360"/>
      <c r="I43" s="360"/>
      <c r="J43" s="360"/>
      <c r="K43" s="360"/>
    </row>
    <row r="44" spans="1:11">
      <c r="A44" s="360"/>
      <c r="B44" s="360"/>
      <c r="C44" s="360"/>
      <c r="D44" s="360"/>
      <c r="E44" s="360"/>
      <c r="G44" s="360"/>
      <c r="H44" s="360"/>
      <c r="I44" s="360"/>
      <c r="J44" s="360"/>
      <c r="K44" s="360"/>
    </row>
    <row r="45" spans="1:11">
      <c r="A45" s="360"/>
      <c r="B45" s="360"/>
      <c r="C45" s="360"/>
      <c r="D45" s="360"/>
      <c r="E45" s="360"/>
      <c r="G45" s="360"/>
      <c r="H45" s="360"/>
      <c r="I45" s="360"/>
      <c r="J45" s="360"/>
      <c r="K45" s="360"/>
    </row>
    <row r="46" spans="1:11">
      <c r="A46" s="360"/>
      <c r="B46" s="360"/>
      <c r="C46" s="360"/>
      <c r="D46" s="360"/>
      <c r="E46" s="360"/>
      <c r="G46" s="360"/>
      <c r="H46" s="360"/>
      <c r="I46" s="360"/>
      <c r="J46" s="360"/>
      <c r="K46" s="360"/>
    </row>
    <row r="47" spans="1:11">
      <c r="E47" s="360"/>
      <c r="G47" s="360"/>
      <c r="H47" s="360"/>
      <c r="I47" s="360"/>
      <c r="J47" s="360"/>
      <c r="K47" s="360"/>
    </row>
    <row r="48" spans="1:11">
      <c r="E48" s="360"/>
      <c r="G48" s="360"/>
      <c r="H48" s="360"/>
      <c r="I48" s="360"/>
      <c r="J48" s="360"/>
      <c r="K48" s="360"/>
    </row>
    <row r="49" spans="5:11">
      <c r="E49" s="360"/>
      <c r="G49" s="360"/>
      <c r="H49" s="360"/>
      <c r="I49" s="360"/>
      <c r="J49" s="360"/>
      <c r="K49" s="360"/>
    </row>
    <row r="50" spans="5:11">
      <c r="E50" s="360"/>
      <c r="G50" s="360"/>
      <c r="H50" s="360"/>
      <c r="I50" s="360"/>
      <c r="J50" s="360"/>
      <c r="K50" s="360"/>
    </row>
    <row r="51" spans="5:11">
      <c r="E51" s="360"/>
      <c r="G51" s="360"/>
      <c r="H51" s="360"/>
      <c r="I51" s="360"/>
      <c r="J51" s="360"/>
      <c r="K51" s="360"/>
    </row>
    <row r="52" spans="5:11">
      <c r="E52" s="360"/>
      <c r="G52" s="360"/>
      <c r="H52" s="360"/>
      <c r="I52" s="360"/>
      <c r="J52" s="360"/>
      <c r="K52" s="360"/>
    </row>
    <row r="53" spans="5:11">
      <c r="E53" s="360"/>
      <c r="G53" s="360"/>
      <c r="H53" s="360"/>
      <c r="I53" s="360"/>
      <c r="J53" s="360"/>
      <c r="K53" s="360"/>
    </row>
    <row r="54" spans="5:11">
      <c r="E54" s="360"/>
      <c r="G54" s="360"/>
      <c r="H54" s="360"/>
      <c r="I54" s="360"/>
      <c r="J54" s="360"/>
      <c r="K54" s="360"/>
    </row>
    <row r="55" spans="5:11">
      <c r="E55" s="360"/>
      <c r="G55" s="360"/>
      <c r="H55" s="360"/>
      <c r="I55" s="360"/>
      <c r="J55" s="360"/>
      <c r="K55" s="360"/>
    </row>
    <row r="56" spans="5:11">
      <c r="E56" s="360"/>
      <c r="G56" s="360"/>
      <c r="H56" s="360"/>
      <c r="I56" s="360"/>
      <c r="J56" s="360"/>
      <c r="K56" s="360"/>
    </row>
    <row r="57" spans="5:11">
      <c r="E57" s="360"/>
      <c r="G57" s="360"/>
      <c r="H57" s="360"/>
      <c r="I57" s="360"/>
      <c r="J57" s="360"/>
      <c r="K57" s="360"/>
    </row>
    <row r="58" spans="5:11">
      <c r="E58" s="360"/>
      <c r="G58" s="360"/>
      <c r="H58" s="360"/>
      <c r="I58" s="360"/>
      <c r="J58" s="360"/>
      <c r="K58" s="360"/>
    </row>
    <row r="59" spans="5:11">
      <c r="E59" s="360"/>
      <c r="G59" s="360"/>
      <c r="H59" s="360"/>
      <c r="I59" s="360"/>
      <c r="J59" s="360"/>
      <c r="K59" s="360"/>
    </row>
    <row r="60" spans="5:11">
      <c r="E60" s="360"/>
      <c r="G60" s="360"/>
      <c r="H60" s="360"/>
      <c r="I60" s="360"/>
      <c r="J60" s="360"/>
      <c r="K60" s="360"/>
    </row>
    <row r="61" spans="5:11">
      <c r="E61" s="360"/>
      <c r="G61" s="360"/>
      <c r="H61" s="360"/>
      <c r="I61" s="360"/>
      <c r="J61" s="360"/>
      <c r="K61" s="360"/>
    </row>
    <row r="62" spans="5:11">
      <c r="E62" s="360"/>
      <c r="G62" s="360"/>
      <c r="H62" s="360"/>
      <c r="I62" s="360"/>
      <c r="J62" s="360"/>
      <c r="K62" s="360"/>
    </row>
  </sheetData>
  <hyperlinks>
    <hyperlink ref="A4" r:id="rId1"/>
  </hyperlinks>
  <printOptions horizontalCentered="1"/>
  <pageMargins left="0.75" right="0.75" top="1" bottom="1" header="0.5" footer="0.5"/>
  <pageSetup scale="55" orientation="landscape" r:id="rId2"/>
  <headerFooter alignWithMargins="0"/>
  <customProperties>
    <customPr name="_pios_id" r:id="rId3"/>
  </customProperties>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A3" sqref="A3"/>
    </sheetView>
  </sheetViews>
  <sheetFormatPr defaultRowHeight="15"/>
  <cols>
    <col min="1" max="1" width="30" style="712" bestFit="1" customWidth="1"/>
  </cols>
  <sheetData>
    <row r="1" spans="1:1">
      <c r="A1" s="712">
        <v>41970</v>
      </c>
    </row>
    <row r="2" spans="1:1">
      <c r="A2" s="712">
        <v>41998</v>
      </c>
    </row>
    <row r="3" spans="1:1">
      <c r="A3" s="712">
        <v>42005</v>
      </c>
    </row>
  </sheetData>
  <pageMargins left="0.7" right="0.7" top="0.75" bottom="0.75" header="0.3" footer="0.3"/>
  <pageSetup orientation="portrait" r:id="rId1"/>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E33" sqref="E33"/>
    </sheetView>
  </sheetViews>
  <sheetFormatPr defaultRowHeight="15"/>
  <sheetData/>
  <pageMargins left="0.7" right="0.7" top="0.75" bottom="0.75" header="0.3" footer="0.3"/>
  <pageSetup orientation="portrait" r:id="rId1"/>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7"/>
  <sheetViews>
    <sheetView topLeftCell="B1" zoomScale="80" zoomScaleNormal="80" workbookViewId="0">
      <pane ySplit="5" topLeftCell="A6" activePane="bottomLeft" state="frozen"/>
      <selection activeCell="E33" sqref="E33"/>
      <selection pane="bottomLeft" activeCell="E33" sqref="E33"/>
    </sheetView>
  </sheetViews>
  <sheetFormatPr defaultColWidth="9.140625" defaultRowHeight="18"/>
  <cols>
    <col min="1" max="1" width="24.42578125" style="747" customWidth="1"/>
    <col min="2" max="2" width="21.5703125" style="747" bestFit="1" customWidth="1"/>
    <col min="3" max="3" width="20.42578125" style="747" bestFit="1" customWidth="1"/>
    <col min="4" max="4" width="13" style="747" bestFit="1" customWidth="1"/>
    <col min="5" max="5" width="22.42578125" style="747" bestFit="1" customWidth="1"/>
    <col min="6" max="6" width="62.42578125" style="747" bestFit="1" customWidth="1"/>
    <col min="7" max="7" width="6.7109375" style="747" bestFit="1" customWidth="1"/>
    <col min="8" max="8" width="16.7109375" style="748" bestFit="1" customWidth="1"/>
    <col min="9" max="9" width="32.140625" style="749" bestFit="1" customWidth="1"/>
    <col min="10" max="10" width="17.5703125" style="749" bestFit="1" customWidth="1"/>
    <col min="11" max="11" width="18.140625" style="749" customWidth="1"/>
    <col min="12" max="12" width="31" style="751" bestFit="1" customWidth="1"/>
    <col min="13" max="13" width="24.42578125" style="750" bestFit="1" customWidth="1"/>
    <col min="14" max="14" width="24.7109375" style="749" bestFit="1" customWidth="1"/>
    <col min="15" max="15" width="13.5703125" style="749" bestFit="1" customWidth="1"/>
    <col min="16" max="16" width="10.7109375" style="749" bestFit="1" customWidth="1"/>
    <col min="17" max="16384" width="9.140625" style="749"/>
  </cols>
  <sheetData>
    <row r="1" spans="1:16" s="741" customFormat="1" ht="23.25">
      <c r="A1" s="739" t="s">
        <v>862</v>
      </c>
      <c r="B1" s="739"/>
      <c r="C1" s="739"/>
      <c r="D1" s="739"/>
      <c r="E1" s="739"/>
      <c r="F1" s="739"/>
      <c r="G1" s="739"/>
      <c r="H1" s="740"/>
      <c r="L1" s="742"/>
      <c r="M1" s="743"/>
    </row>
    <row r="2" spans="1:16" s="741" customFormat="1" ht="24" thickBot="1">
      <c r="A2" s="739"/>
      <c r="B2" s="739"/>
      <c r="C2" s="739"/>
      <c r="D2" s="739"/>
      <c r="E2" s="739"/>
      <c r="F2" s="739"/>
      <c r="G2" s="739"/>
      <c r="H2" s="740"/>
      <c r="L2" s="742"/>
      <c r="M2" s="743"/>
    </row>
    <row r="3" spans="1:16" ht="18.75" thickBot="1">
      <c r="A3" s="744" t="s">
        <v>863</v>
      </c>
      <c r="B3" s="745">
        <v>50</v>
      </c>
      <c r="C3" s="746"/>
      <c r="J3" s="750"/>
      <c r="M3" s="749"/>
    </row>
    <row r="4" spans="1:16" ht="18.75" thickBot="1">
      <c r="A4" s="744" t="s">
        <v>213</v>
      </c>
      <c r="B4" s="745" t="s">
        <v>169</v>
      </c>
      <c r="C4" s="746"/>
      <c r="E4" s="745" t="s">
        <v>864</v>
      </c>
      <c r="F4" s="1162"/>
      <c r="G4" s="1163"/>
      <c r="H4" s="1163"/>
      <c r="I4" s="1164"/>
      <c r="J4" s="1165" t="s">
        <v>865</v>
      </c>
      <c r="K4" s="1166"/>
      <c r="L4" s="752" t="s">
        <v>866</v>
      </c>
      <c r="M4" s="753" t="s">
        <v>867</v>
      </c>
      <c r="N4" s="754" t="s">
        <v>868</v>
      </c>
    </row>
    <row r="5" spans="1:16" s="765" customFormat="1" ht="18.75" thickBot="1">
      <c r="A5" s="755" t="s">
        <v>869</v>
      </c>
      <c r="B5" s="755" t="s">
        <v>870</v>
      </c>
      <c r="C5" s="756" t="s">
        <v>871</v>
      </c>
      <c r="D5" s="756" t="s">
        <v>872</v>
      </c>
      <c r="E5" s="757" t="s">
        <v>864</v>
      </c>
      <c r="F5" s="758" t="s">
        <v>873</v>
      </c>
      <c r="G5" s="758"/>
      <c r="H5" s="758" t="s">
        <v>874</v>
      </c>
      <c r="I5" s="759" t="s">
        <v>875</v>
      </c>
      <c r="J5" s="760" t="s">
        <v>876</v>
      </c>
      <c r="K5" s="761" t="s">
        <v>877</v>
      </c>
      <c r="L5" s="936" t="s">
        <v>878</v>
      </c>
      <c r="M5" s="762" t="s">
        <v>876</v>
      </c>
      <c r="N5" s="763" t="s">
        <v>878</v>
      </c>
      <c r="O5" s="764" t="s">
        <v>245</v>
      </c>
    </row>
    <row r="6" spans="1:16" ht="18.75" thickBot="1">
      <c r="A6" s="766" t="s">
        <v>879</v>
      </c>
      <c r="B6" s="767" t="s">
        <v>880</v>
      </c>
      <c r="C6" s="767" t="s">
        <v>881</v>
      </c>
      <c r="D6" s="767" t="s">
        <v>882</v>
      </c>
      <c r="E6" s="768" t="s">
        <v>883</v>
      </c>
      <c r="F6" s="769" t="s">
        <v>884</v>
      </c>
      <c r="G6" s="769"/>
      <c r="H6" s="770" t="s">
        <v>885</v>
      </c>
      <c r="I6" s="771" t="s">
        <v>886</v>
      </c>
      <c r="J6" s="797">
        <f>$J$7</f>
        <v>42217</v>
      </c>
      <c r="K6" s="797">
        <f>$K$7</f>
        <v>42308</v>
      </c>
      <c r="L6" s="950">
        <f>+L7</f>
        <v>0.42232999999999998</v>
      </c>
      <c r="M6" s="938">
        <f>+M$7</f>
        <v>42309</v>
      </c>
      <c r="N6" s="954">
        <f>N7</f>
        <v>0.43381667607171226</v>
      </c>
      <c r="O6" s="955"/>
    </row>
    <row r="7" spans="1:16" s="777" customFormat="1" ht="18.75" thickBot="1">
      <c r="A7" s="772" t="s">
        <v>208</v>
      </c>
      <c r="B7" s="773" t="s">
        <v>887</v>
      </c>
      <c r="C7" s="773" t="s">
        <v>888</v>
      </c>
      <c r="D7" s="773" t="s">
        <v>882</v>
      </c>
      <c r="E7" s="773" t="s">
        <v>889</v>
      </c>
      <c r="F7" s="774" t="s">
        <v>890</v>
      </c>
      <c r="G7" s="774"/>
      <c r="H7" s="775" t="s">
        <v>891</v>
      </c>
      <c r="I7" s="776" t="s">
        <v>886</v>
      </c>
      <c r="J7" s="798">
        <f>+MAX('WP-T.1'!E:E)</f>
        <v>42217</v>
      </c>
      <c r="K7" s="798">
        <f>+MAX('WP-T.1'!F:F)</f>
        <v>42308</v>
      </c>
      <c r="L7" s="951">
        <f>+A.1!G24/10</f>
        <v>0.42232999999999998</v>
      </c>
      <c r="M7" s="935">
        <f>+MAX('WP-T.1'!G:G)</f>
        <v>42309</v>
      </c>
      <c r="N7" s="956">
        <f>A.1!I24/10</f>
        <v>0.43381667607171226</v>
      </c>
      <c r="O7" s="957">
        <f>SUM(N8:N13)</f>
        <v>0.43381667607171226</v>
      </c>
      <c r="P7" s="777" t="b">
        <f>N7=O7</f>
        <v>1</v>
      </c>
    </row>
    <row r="8" spans="1:16">
      <c r="A8" s="778"/>
      <c r="B8" s="768"/>
      <c r="C8" s="768"/>
      <c r="D8" s="768" t="s">
        <v>892</v>
      </c>
      <c r="E8" s="768" t="s">
        <v>893</v>
      </c>
      <c r="F8" s="769" t="s">
        <v>894</v>
      </c>
      <c r="G8" s="769"/>
      <c r="H8" s="770"/>
      <c r="I8" s="779" t="s">
        <v>895</v>
      </c>
      <c r="J8" s="797">
        <f>J6</f>
        <v>42217</v>
      </c>
      <c r="K8" s="797">
        <f>+K7</f>
        <v>42308</v>
      </c>
      <c r="L8" s="952">
        <f>0/10</f>
        <v>0</v>
      </c>
      <c r="M8" s="938">
        <f t="shared" ref="M8:M55" si="0">+M$7</f>
        <v>42309</v>
      </c>
      <c r="N8" s="958">
        <v>0</v>
      </c>
      <c r="O8" s="959"/>
    </row>
    <row r="9" spans="1:16">
      <c r="A9" s="778"/>
      <c r="B9" s="768"/>
      <c r="C9" s="768"/>
      <c r="D9" s="768" t="s">
        <v>896</v>
      </c>
      <c r="E9" s="768" t="s">
        <v>897</v>
      </c>
      <c r="F9" s="769" t="s">
        <v>898</v>
      </c>
      <c r="G9" s="769"/>
      <c r="H9" s="770"/>
      <c r="I9" s="779" t="s">
        <v>895</v>
      </c>
      <c r="J9" s="797">
        <f t="shared" ref="J9:J13" si="1">J7</f>
        <v>42217</v>
      </c>
      <c r="K9" s="797">
        <f t="shared" ref="K9:K13" si="2">+K8</f>
        <v>42308</v>
      </c>
      <c r="L9" s="952">
        <f>+A.1!G21/10</f>
        <v>-7.2739999999999999E-2</v>
      </c>
      <c r="M9" s="938">
        <f t="shared" si="0"/>
        <v>42309</v>
      </c>
      <c r="N9" s="958">
        <f>+A.1!I21/10</f>
        <v>-6.4920000000000005E-2</v>
      </c>
      <c r="O9" s="959"/>
    </row>
    <row r="10" spans="1:16" ht="17.25" customHeight="1">
      <c r="A10" s="778"/>
      <c r="B10" s="768"/>
      <c r="C10" s="768"/>
      <c r="D10" s="768" t="s">
        <v>899</v>
      </c>
      <c r="E10" s="768" t="s">
        <v>900</v>
      </c>
      <c r="F10" s="769" t="s">
        <v>901</v>
      </c>
      <c r="G10" s="769"/>
      <c r="H10" s="770"/>
      <c r="I10" s="779" t="s">
        <v>895</v>
      </c>
      <c r="J10" s="797">
        <f t="shared" si="1"/>
        <v>42217</v>
      </c>
      <c r="K10" s="797">
        <f t="shared" si="2"/>
        <v>42308</v>
      </c>
      <c r="L10" s="952">
        <f>+A.1!G20/10</f>
        <v>0.4798</v>
      </c>
      <c r="M10" s="938">
        <f t="shared" si="0"/>
        <v>42309</v>
      </c>
      <c r="N10" s="958">
        <f>A.1!I20/10</f>
        <v>0.48346999999999996</v>
      </c>
      <c r="O10" s="959"/>
    </row>
    <row r="11" spans="1:16">
      <c r="A11" s="778"/>
      <c r="B11" s="768"/>
      <c r="C11" s="768"/>
      <c r="D11" s="768" t="s">
        <v>902</v>
      </c>
      <c r="E11" s="768" t="s">
        <v>903</v>
      </c>
      <c r="F11" s="769" t="s">
        <v>904</v>
      </c>
      <c r="G11" s="769"/>
      <c r="H11" s="770"/>
      <c r="I11" s="796" t="s">
        <v>895</v>
      </c>
      <c r="J11" s="797">
        <f t="shared" si="1"/>
        <v>42217</v>
      </c>
      <c r="K11" s="797">
        <f t="shared" si="2"/>
        <v>42308</v>
      </c>
      <c r="L11" s="952">
        <f>+A.1!G23/10</f>
        <v>1.5270000000000001E-2</v>
      </c>
      <c r="M11" s="938">
        <f t="shared" si="0"/>
        <v>42309</v>
      </c>
      <c r="N11" s="958">
        <f>A.1!I23/10</f>
        <v>1.5266676071712264E-2</v>
      </c>
      <c r="O11" s="959"/>
    </row>
    <row r="12" spans="1:16">
      <c r="A12" s="778"/>
      <c r="B12" s="768"/>
      <c r="C12" s="768"/>
      <c r="D12" s="768" t="s">
        <v>905</v>
      </c>
      <c r="E12" s="768" t="s">
        <v>906</v>
      </c>
      <c r="F12" s="769" t="s">
        <v>907</v>
      </c>
      <c r="G12" s="769"/>
      <c r="H12" s="770"/>
      <c r="I12" s="779" t="s">
        <v>895</v>
      </c>
      <c r="J12" s="797">
        <f t="shared" si="1"/>
        <v>42217</v>
      </c>
      <c r="K12" s="797">
        <f t="shared" si="2"/>
        <v>42308</v>
      </c>
      <c r="L12" s="952">
        <f>+A.1!G22/10</f>
        <v>0</v>
      </c>
      <c r="M12" s="938">
        <f t="shared" si="0"/>
        <v>42309</v>
      </c>
      <c r="N12" s="958">
        <f>A.1!I22/10</f>
        <v>0</v>
      </c>
      <c r="O12" s="959"/>
    </row>
    <row r="13" spans="1:16" ht="18.75" thickBot="1">
      <c r="A13" s="780"/>
      <c r="B13" s="768"/>
      <c r="C13" s="768"/>
      <c r="D13" s="768"/>
      <c r="E13" s="768"/>
      <c r="F13" s="769"/>
      <c r="G13" s="769"/>
      <c r="H13" s="770"/>
      <c r="I13" s="779" t="s">
        <v>895</v>
      </c>
      <c r="J13" s="799">
        <f t="shared" si="1"/>
        <v>42217</v>
      </c>
      <c r="K13" s="797">
        <f t="shared" si="2"/>
        <v>42308</v>
      </c>
      <c r="L13" s="953"/>
      <c r="M13" s="939">
        <f t="shared" si="0"/>
        <v>42309</v>
      </c>
      <c r="N13" s="958"/>
      <c r="O13" s="959"/>
    </row>
    <row r="14" spans="1:16" s="777" customFormat="1" ht="18.75" thickBot="1">
      <c r="A14" s="781" t="s">
        <v>202</v>
      </c>
      <c r="B14" s="773" t="s">
        <v>908</v>
      </c>
      <c r="C14" s="773" t="s">
        <v>888</v>
      </c>
      <c r="D14" s="773" t="s">
        <v>882</v>
      </c>
      <c r="E14" s="773" t="s">
        <v>909</v>
      </c>
      <c r="F14" s="774" t="s">
        <v>910</v>
      </c>
      <c r="G14" s="774"/>
      <c r="H14" s="775" t="s">
        <v>891</v>
      </c>
      <c r="I14" s="776" t="s">
        <v>886</v>
      </c>
      <c r="J14" s="798">
        <f>$J$7</f>
        <v>42217</v>
      </c>
      <c r="K14" s="798">
        <f>+K7</f>
        <v>42308</v>
      </c>
      <c r="L14" s="951">
        <f>+A.1!G46/10</f>
        <v>0.29023999999999994</v>
      </c>
      <c r="M14" s="937">
        <f t="shared" si="0"/>
        <v>42309</v>
      </c>
      <c r="N14" s="956">
        <f>A.1!I46/10</f>
        <v>0.30172667607171222</v>
      </c>
      <c r="O14" s="957">
        <f>SUM(N15:N20)</f>
        <v>0.30172667607171222</v>
      </c>
      <c r="P14" s="777" t="b">
        <f>N14=O14</f>
        <v>1</v>
      </c>
    </row>
    <row r="15" spans="1:16" s="777" customFormat="1">
      <c r="A15" s="778"/>
      <c r="B15" s="768"/>
      <c r="C15" s="768"/>
      <c r="D15" s="768" t="s">
        <v>892</v>
      </c>
      <c r="E15" s="768" t="s">
        <v>911</v>
      </c>
      <c r="F15" s="769" t="s">
        <v>894</v>
      </c>
      <c r="G15" s="769" t="s">
        <v>912</v>
      </c>
      <c r="H15" s="770"/>
      <c r="I15" s="779" t="s">
        <v>895</v>
      </c>
      <c r="J15" s="797">
        <f>J6</f>
        <v>42217</v>
      </c>
      <c r="K15" s="797">
        <f>+K8</f>
        <v>42308</v>
      </c>
      <c r="L15" s="952">
        <f>0/10</f>
        <v>0</v>
      </c>
      <c r="M15" s="938">
        <f t="shared" si="0"/>
        <v>42309</v>
      </c>
      <c r="N15" s="958">
        <f>N$8</f>
        <v>0</v>
      </c>
      <c r="O15" s="960"/>
    </row>
    <row r="16" spans="1:16" s="777" customFormat="1">
      <c r="A16" s="778"/>
      <c r="B16" s="768"/>
      <c r="C16" s="768"/>
      <c r="D16" s="768" t="s">
        <v>896</v>
      </c>
      <c r="E16" s="768" t="s">
        <v>913</v>
      </c>
      <c r="F16" s="769" t="s">
        <v>898</v>
      </c>
      <c r="G16" s="769" t="s">
        <v>914</v>
      </c>
      <c r="H16" s="770"/>
      <c r="I16" s="779" t="s">
        <v>895</v>
      </c>
      <c r="J16" s="797">
        <f t="shared" ref="J16:J20" si="3">J7</f>
        <v>42217</v>
      </c>
      <c r="K16" s="797">
        <f t="shared" ref="K16:K20" si="4">+K9</f>
        <v>42308</v>
      </c>
      <c r="L16" s="952">
        <f>+A.1!G43/10</f>
        <v>-7.2739999999999999E-2</v>
      </c>
      <c r="M16" s="938">
        <f t="shared" si="0"/>
        <v>42309</v>
      </c>
      <c r="N16" s="958">
        <f>A.1!I43/10</f>
        <v>-6.4920000000000005E-2</v>
      </c>
      <c r="O16" s="960"/>
    </row>
    <row r="17" spans="1:16" s="777" customFormat="1">
      <c r="A17" s="778"/>
      <c r="B17" s="768"/>
      <c r="C17" s="768"/>
      <c r="D17" s="768" t="s">
        <v>899</v>
      </c>
      <c r="E17" s="768" t="s">
        <v>915</v>
      </c>
      <c r="F17" s="769" t="s">
        <v>901</v>
      </c>
      <c r="G17" s="769" t="s">
        <v>916</v>
      </c>
      <c r="H17" s="770"/>
      <c r="I17" s="779" t="s">
        <v>895</v>
      </c>
      <c r="J17" s="797">
        <f t="shared" si="3"/>
        <v>42217</v>
      </c>
      <c r="K17" s="797">
        <f t="shared" si="4"/>
        <v>42308</v>
      </c>
      <c r="L17" s="952">
        <f>+A.1!G42/10</f>
        <v>0.34771000000000002</v>
      </c>
      <c r="M17" s="938">
        <f t="shared" si="0"/>
        <v>42309</v>
      </c>
      <c r="N17" s="958">
        <f>A.1!I42/10</f>
        <v>0.35137999999999997</v>
      </c>
      <c r="O17" s="960"/>
    </row>
    <row r="18" spans="1:16" s="777" customFormat="1">
      <c r="A18" s="778"/>
      <c r="B18" s="768"/>
      <c r="C18" s="768"/>
      <c r="D18" s="768" t="s">
        <v>902</v>
      </c>
      <c r="E18" s="768" t="s">
        <v>917</v>
      </c>
      <c r="F18" s="769" t="s">
        <v>904</v>
      </c>
      <c r="G18" s="769" t="s">
        <v>918</v>
      </c>
      <c r="H18" s="770"/>
      <c r="I18" s="779" t="s">
        <v>895</v>
      </c>
      <c r="J18" s="797">
        <f t="shared" si="3"/>
        <v>42217</v>
      </c>
      <c r="K18" s="797">
        <f t="shared" si="4"/>
        <v>42308</v>
      </c>
      <c r="L18" s="952">
        <f>+A.1!G45/10</f>
        <v>1.5270000000000001E-2</v>
      </c>
      <c r="M18" s="938">
        <f t="shared" si="0"/>
        <v>42309</v>
      </c>
      <c r="N18" s="958">
        <f>A.1!I45/10</f>
        <v>1.5266676071712264E-2</v>
      </c>
      <c r="O18" s="960"/>
    </row>
    <row r="19" spans="1:16" s="777" customFormat="1">
      <c r="A19" s="778"/>
      <c r="B19" s="768"/>
      <c r="C19" s="768"/>
      <c r="D19" s="768" t="s">
        <v>905</v>
      </c>
      <c r="E19" s="768" t="s">
        <v>919</v>
      </c>
      <c r="F19" s="769" t="s">
        <v>920</v>
      </c>
      <c r="G19" s="769" t="s">
        <v>921</v>
      </c>
      <c r="H19" s="770"/>
      <c r="I19" s="779" t="s">
        <v>895</v>
      </c>
      <c r="J19" s="797">
        <f t="shared" si="3"/>
        <v>42217</v>
      </c>
      <c r="K19" s="797">
        <f t="shared" si="4"/>
        <v>42308</v>
      </c>
      <c r="L19" s="952">
        <f>+A.1!G44/10</f>
        <v>0</v>
      </c>
      <c r="M19" s="938">
        <f t="shared" si="0"/>
        <v>42309</v>
      </c>
      <c r="N19" s="958">
        <f>A.1!I44/10</f>
        <v>0</v>
      </c>
      <c r="O19" s="960"/>
    </row>
    <row r="20" spans="1:16" ht="18.75" thickBot="1">
      <c r="A20" s="780"/>
      <c r="B20" s="768"/>
      <c r="C20" s="768"/>
      <c r="D20" s="768"/>
      <c r="E20" s="768"/>
      <c r="F20" s="769"/>
      <c r="G20" s="769"/>
      <c r="H20" s="770"/>
      <c r="I20" s="779" t="s">
        <v>895</v>
      </c>
      <c r="J20" s="799">
        <f t="shared" si="3"/>
        <v>42217</v>
      </c>
      <c r="K20" s="797">
        <f t="shared" si="4"/>
        <v>42308</v>
      </c>
      <c r="L20" s="953"/>
      <c r="M20" s="939">
        <f t="shared" si="0"/>
        <v>42309</v>
      </c>
      <c r="N20" s="958"/>
      <c r="O20" s="959"/>
    </row>
    <row r="21" spans="1:16" s="777" customFormat="1" ht="18.75" thickBot="1">
      <c r="A21" s="781" t="s">
        <v>208</v>
      </c>
      <c r="B21" s="773" t="s">
        <v>922</v>
      </c>
      <c r="C21" s="773" t="s">
        <v>923</v>
      </c>
      <c r="D21" s="773" t="s">
        <v>882</v>
      </c>
      <c r="E21" s="773" t="s">
        <v>924</v>
      </c>
      <c r="F21" s="774" t="s">
        <v>925</v>
      </c>
      <c r="G21" s="774"/>
      <c r="H21" s="775" t="s">
        <v>926</v>
      </c>
      <c r="I21" s="776" t="s">
        <v>886</v>
      </c>
      <c r="J21" s="798">
        <f>$J$7</f>
        <v>42217</v>
      </c>
      <c r="K21" s="798">
        <f>+K7</f>
        <v>42308</v>
      </c>
      <c r="L21" s="951">
        <f t="shared" ref="L21:L26" si="5">+L7</f>
        <v>0.42232999999999998</v>
      </c>
      <c r="M21" s="937">
        <f t="shared" si="0"/>
        <v>42309</v>
      </c>
      <c r="N21" s="956">
        <f>N$7</f>
        <v>0.43381667607171226</v>
      </c>
      <c r="O21" s="957">
        <f>SUM(N22:N27)</f>
        <v>0.43381667607171226</v>
      </c>
      <c r="P21" s="777" t="b">
        <f>N21=O21</f>
        <v>1</v>
      </c>
    </row>
    <row r="22" spans="1:16">
      <c r="A22" s="778" t="s">
        <v>173</v>
      </c>
      <c r="B22" s="768"/>
      <c r="C22" s="768"/>
      <c r="D22" s="768" t="s">
        <v>892</v>
      </c>
      <c r="E22" s="768" t="s">
        <v>927</v>
      </c>
      <c r="F22" s="769" t="s">
        <v>894</v>
      </c>
      <c r="G22" s="769"/>
      <c r="H22" s="770"/>
      <c r="I22" s="779" t="s">
        <v>895</v>
      </c>
      <c r="J22" s="797">
        <f>J6</f>
        <v>42217</v>
      </c>
      <c r="K22" s="797">
        <f>+K8</f>
        <v>42308</v>
      </c>
      <c r="L22" s="952">
        <f t="shared" si="5"/>
        <v>0</v>
      </c>
      <c r="M22" s="938">
        <f t="shared" si="0"/>
        <v>42309</v>
      </c>
      <c r="N22" s="958">
        <f>N$8</f>
        <v>0</v>
      </c>
      <c r="O22" s="959"/>
    </row>
    <row r="23" spans="1:16">
      <c r="A23" s="778"/>
      <c r="B23" s="768"/>
      <c r="C23" s="768"/>
      <c r="D23" s="768" t="s">
        <v>896</v>
      </c>
      <c r="E23" s="768" t="s">
        <v>928</v>
      </c>
      <c r="F23" s="769" t="s">
        <v>929</v>
      </c>
      <c r="G23" s="769"/>
      <c r="H23" s="770"/>
      <c r="I23" s="779" t="s">
        <v>895</v>
      </c>
      <c r="J23" s="797">
        <f t="shared" ref="J23:J27" si="6">J7</f>
        <v>42217</v>
      </c>
      <c r="K23" s="797">
        <f t="shared" ref="K23:K27" si="7">+K9</f>
        <v>42308</v>
      </c>
      <c r="L23" s="952">
        <f t="shared" si="5"/>
        <v>-7.2739999999999999E-2</v>
      </c>
      <c r="M23" s="938">
        <f t="shared" si="0"/>
        <v>42309</v>
      </c>
      <c r="N23" s="958">
        <f>N$9</f>
        <v>-6.4920000000000005E-2</v>
      </c>
      <c r="O23" s="959"/>
    </row>
    <row r="24" spans="1:16">
      <c r="A24" s="778"/>
      <c r="B24" s="768"/>
      <c r="C24" s="768"/>
      <c r="D24" s="768" t="s">
        <v>899</v>
      </c>
      <c r="E24" s="768" t="s">
        <v>930</v>
      </c>
      <c r="F24" s="769" t="s">
        <v>931</v>
      </c>
      <c r="G24" s="769"/>
      <c r="H24" s="770"/>
      <c r="I24" s="779" t="s">
        <v>895</v>
      </c>
      <c r="J24" s="797">
        <f t="shared" si="6"/>
        <v>42217</v>
      </c>
      <c r="K24" s="797">
        <f t="shared" si="7"/>
        <v>42308</v>
      </c>
      <c r="L24" s="952">
        <f t="shared" si="5"/>
        <v>0.4798</v>
      </c>
      <c r="M24" s="938">
        <f t="shared" si="0"/>
        <v>42309</v>
      </c>
      <c r="N24" s="958">
        <f>N$10</f>
        <v>0.48346999999999996</v>
      </c>
      <c r="O24" s="959"/>
    </row>
    <row r="25" spans="1:16">
      <c r="A25" s="778"/>
      <c r="B25" s="768"/>
      <c r="C25" s="768"/>
      <c r="D25" s="768" t="s">
        <v>902</v>
      </c>
      <c r="E25" s="768" t="s">
        <v>932</v>
      </c>
      <c r="F25" s="769" t="s">
        <v>933</v>
      </c>
      <c r="G25" s="769"/>
      <c r="H25" s="770"/>
      <c r="I25" s="779" t="s">
        <v>895</v>
      </c>
      <c r="J25" s="797">
        <f t="shared" si="6"/>
        <v>42217</v>
      </c>
      <c r="K25" s="797">
        <f t="shared" si="7"/>
        <v>42308</v>
      </c>
      <c r="L25" s="952">
        <f t="shared" si="5"/>
        <v>1.5270000000000001E-2</v>
      </c>
      <c r="M25" s="938">
        <f t="shared" si="0"/>
        <v>42309</v>
      </c>
      <c r="N25" s="958">
        <f>N$11</f>
        <v>1.5266676071712264E-2</v>
      </c>
      <c r="O25" s="959"/>
    </row>
    <row r="26" spans="1:16">
      <c r="A26" s="778"/>
      <c r="B26" s="768"/>
      <c r="C26" s="768"/>
      <c r="D26" s="768" t="s">
        <v>905</v>
      </c>
      <c r="E26" s="768" t="s">
        <v>934</v>
      </c>
      <c r="F26" s="769" t="s">
        <v>935</v>
      </c>
      <c r="G26" s="769"/>
      <c r="H26" s="770"/>
      <c r="I26" s="779" t="s">
        <v>895</v>
      </c>
      <c r="J26" s="797">
        <f t="shared" si="6"/>
        <v>42217</v>
      </c>
      <c r="K26" s="797">
        <f t="shared" si="7"/>
        <v>42308</v>
      </c>
      <c r="L26" s="952">
        <f t="shared" si="5"/>
        <v>0</v>
      </c>
      <c r="M26" s="938">
        <f t="shared" si="0"/>
        <v>42309</v>
      </c>
      <c r="N26" s="958">
        <f>N$12</f>
        <v>0</v>
      </c>
      <c r="O26" s="959"/>
    </row>
    <row r="27" spans="1:16" ht="18.75" thickBot="1">
      <c r="A27" s="780"/>
      <c r="B27" s="768"/>
      <c r="C27" s="768"/>
      <c r="D27" s="768"/>
      <c r="E27" s="768"/>
      <c r="F27" s="769"/>
      <c r="G27" s="769"/>
      <c r="H27" s="770"/>
      <c r="I27" s="779" t="s">
        <v>895</v>
      </c>
      <c r="J27" s="799">
        <f t="shared" si="6"/>
        <v>42217</v>
      </c>
      <c r="K27" s="797">
        <f t="shared" si="7"/>
        <v>42308</v>
      </c>
      <c r="L27" s="953"/>
      <c r="M27" s="939">
        <f t="shared" si="0"/>
        <v>42309</v>
      </c>
      <c r="N27" s="958"/>
      <c r="O27" s="959"/>
    </row>
    <row r="28" spans="1:16" s="777" customFormat="1" ht="18.75" thickBot="1">
      <c r="A28" s="781" t="s">
        <v>202</v>
      </c>
      <c r="B28" s="773" t="s">
        <v>936</v>
      </c>
      <c r="C28" s="773" t="s">
        <v>923</v>
      </c>
      <c r="D28" s="773" t="s">
        <v>882</v>
      </c>
      <c r="E28" s="773" t="s">
        <v>937</v>
      </c>
      <c r="F28" s="774" t="s">
        <v>938</v>
      </c>
      <c r="G28" s="774"/>
      <c r="H28" s="775" t="s">
        <v>926</v>
      </c>
      <c r="I28" s="776" t="s">
        <v>886</v>
      </c>
      <c r="J28" s="798">
        <f>$J$7</f>
        <v>42217</v>
      </c>
      <c r="K28" s="798">
        <f>+K7</f>
        <v>42308</v>
      </c>
      <c r="L28" s="951">
        <f t="shared" ref="L28:L33" si="8">+L14</f>
        <v>0.29023999999999994</v>
      </c>
      <c r="M28" s="937">
        <f t="shared" si="0"/>
        <v>42309</v>
      </c>
      <c r="N28" s="956">
        <f t="shared" ref="N28:N33" si="9">N14</f>
        <v>0.30172667607171222</v>
      </c>
      <c r="O28" s="957">
        <f>SUM(N29:N34)</f>
        <v>0.30172667607171222</v>
      </c>
      <c r="P28" s="777" t="b">
        <f>N28=O28</f>
        <v>1</v>
      </c>
    </row>
    <row r="29" spans="1:16">
      <c r="A29" s="778"/>
      <c r="B29" s="768"/>
      <c r="C29" s="768"/>
      <c r="D29" s="768" t="s">
        <v>892</v>
      </c>
      <c r="E29" s="768" t="s">
        <v>939</v>
      </c>
      <c r="F29" s="769" t="s">
        <v>894</v>
      </c>
      <c r="G29" s="769"/>
      <c r="H29" s="770"/>
      <c r="I29" s="779" t="s">
        <v>895</v>
      </c>
      <c r="J29" s="797">
        <f>J6</f>
        <v>42217</v>
      </c>
      <c r="K29" s="797">
        <f>+K8</f>
        <v>42308</v>
      </c>
      <c r="L29" s="952">
        <f t="shared" si="8"/>
        <v>0</v>
      </c>
      <c r="M29" s="938">
        <f t="shared" si="0"/>
        <v>42309</v>
      </c>
      <c r="N29" s="958">
        <f t="shared" si="9"/>
        <v>0</v>
      </c>
      <c r="O29" s="959"/>
    </row>
    <row r="30" spans="1:16">
      <c r="A30" s="778"/>
      <c r="B30" s="768"/>
      <c r="C30" s="768"/>
      <c r="D30" s="768" t="s">
        <v>896</v>
      </c>
      <c r="E30" s="768" t="s">
        <v>940</v>
      </c>
      <c r="F30" s="769" t="s">
        <v>929</v>
      </c>
      <c r="G30" s="769"/>
      <c r="H30" s="770"/>
      <c r="I30" s="779" t="s">
        <v>895</v>
      </c>
      <c r="J30" s="797">
        <f t="shared" ref="J30:J34" si="10">J7</f>
        <v>42217</v>
      </c>
      <c r="K30" s="797">
        <f t="shared" ref="K30:K34" si="11">+K9</f>
        <v>42308</v>
      </c>
      <c r="L30" s="952">
        <f t="shared" si="8"/>
        <v>-7.2739999999999999E-2</v>
      </c>
      <c r="M30" s="938">
        <f t="shared" si="0"/>
        <v>42309</v>
      </c>
      <c r="N30" s="958">
        <f t="shared" si="9"/>
        <v>-6.4920000000000005E-2</v>
      </c>
      <c r="O30" s="959"/>
    </row>
    <row r="31" spans="1:16">
      <c r="A31" s="778"/>
      <c r="B31" s="768"/>
      <c r="C31" s="768"/>
      <c r="D31" s="768" t="s">
        <v>899</v>
      </c>
      <c r="E31" s="768" t="s">
        <v>941</v>
      </c>
      <c r="F31" s="769" t="s">
        <v>931</v>
      </c>
      <c r="G31" s="769"/>
      <c r="H31" s="770"/>
      <c r="I31" s="779" t="s">
        <v>895</v>
      </c>
      <c r="J31" s="797">
        <f t="shared" si="10"/>
        <v>42217</v>
      </c>
      <c r="K31" s="797">
        <f t="shared" si="11"/>
        <v>42308</v>
      </c>
      <c r="L31" s="952">
        <f t="shared" si="8"/>
        <v>0.34771000000000002</v>
      </c>
      <c r="M31" s="938">
        <f t="shared" si="0"/>
        <v>42309</v>
      </c>
      <c r="N31" s="958">
        <f t="shared" si="9"/>
        <v>0.35137999999999997</v>
      </c>
      <c r="O31" s="959"/>
    </row>
    <row r="32" spans="1:16">
      <c r="A32" s="778"/>
      <c r="B32" s="768"/>
      <c r="C32" s="768"/>
      <c r="D32" s="768" t="s">
        <v>902</v>
      </c>
      <c r="E32" s="768" t="s">
        <v>942</v>
      </c>
      <c r="F32" s="769" t="s">
        <v>933</v>
      </c>
      <c r="G32" s="769"/>
      <c r="H32" s="770"/>
      <c r="I32" s="779" t="s">
        <v>895</v>
      </c>
      <c r="J32" s="797">
        <f t="shared" si="10"/>
        <v>42217</v>
      </c>
      <c r="K32" s="797">
        <f t="shared" si="11"/>
        <v>42308</v>
      </c>
      <c r="L32" s="952">
        <f t="shared" si="8"/>
        <v>1.5270000000000001E-2</v>
      </c>
      <c r="M32" s="938">
        <f t="shared" si="0"/>
        <v>42309</v>
      </c>
      <c r="N32" s="958">
        <f t="shared" si="9"/>
        <v>1.5266676071712264E-2</v>
      </c>
      <c r="O32" s="959"/>
    </row>
    <row r="33" spans="1:16">
      <c r="A33" s="778"/>
      <c r="B33" s="768"/>
      <c r="C33" s="768"/>
      <c r="D33" s="768" t="s">
        <v>905</v>
      </c>
      <c r="E33" s="768" t="s">
        <v>943</v>
      </c>
      <c r="F33" s="769" t="s">
        <v>935</v>
      </c>
      <c r="G33" s="769"/>
      <c r="H33" s="770"/>
      <c r="I33" s="779" t="s">
        <v>895</v>
      </c>
      <c r="J33" s="797">
        <f t="shared" si="10"/>
        <v>42217</v>
      </c>
      <c r="K33" s="797">
        <f t="shared" si="11"/>
        <v>42308</v>
      </c>
      <c r="L33" s="952">
        <f t="shared" si="8"/>
        <v>0</v>
      </c>
      <c r="M33" s="938">
        <f t="shared" si="0"/>
        <v>42309</v>
      </c>
      <c r="N33" s="958">
        <f t="shared" si="9"/>
        <v>0</v>
      </c>
      <c r="O33" s="959"/>
    </row>
    <row r="34" spans="1:16" ht="18.75" thickBot="1">
      <c r="A34" s="780"/>
      <c r="B34" s="768"/>
      <c r="C34" s="768"/>
      <c r="D34" s="768"/>
      <c r="E34" s="768"/>
      <c r="F34" s="769"/>
      <c r="G34" s="769"/>
      <c r="H34" s="770"/>
      <c r="I34" s="779" t="s">
        <v>895</v>
      </c>
      <c r="J34" s="799">
        <f t="shared" si="10"/>
        <v>42217</v>
      </c>
      <c r="K34" s="797">
        <f t="shared" si="11"/>
        <v>42308</v>
      </c>
      <c r="L34" s="953"/>
      <c r="M34" s="939">
        <f t="shared" si="0"/>
        <v>42309</v>
      </c>
      <c r="N34" s="958"/>
      <c r="O34" s="959"/>
    </row>
    <row r="35" spans="1:16" s="777" customFormat="1" ht="18.75" thickBot="1">
      <c r="A35" s="781" t="s">
        <v>208</v>
      </c>
      <c r="B35" s="773" t="s">
        <v>944</v>
      </c>
      <c r="C35" s="773" t="s">
        <v>945</v>
      </c>
      <c r="D35" s="773" t="s">
        <v>882</v>
      </c>
      <c r="E35" s="773" t="s">
        <v>946</v>
      </c>
      <c r="F35" s="774" t="s">
        <v>947</v>
      </c>
      <c r="G35" s="774"/>
      <c r="H35" s="775" t="s">
        <v>948</v>
      </c>
      <c r="I35" s="776" t="s">
        <v>886</v>
      </c>
      <c r="J35" s="798">
        <f>$J$7</f>
        <v>42217</v>
      </c>
      <c r="K35" s="798">
        <f>+K7</f>
        <v>42308</v>
      </c>
      <c r="L35" s="951">
        <f t="shared" ref="L35:L40" si="12">+L7</f>
        <v>0.42232999999999998</v>
      </c>
      <c r="M35" s="937">
        <f t="shared" si="0"/>
        <v>42309</v>
      </c>
      <c r="N35" s="956">
        <f>N$7</f>
        <v>0.43381667607171226</v>
      </c>
      <c r="O35" s="957">
        <f>SUM(N36:N41)</f>
        <v>0.43381667607171226</v>
      </c>
      <c r="P35" s="777" t="b">
        <f>N35=O35</f>
        <v>1</v>
      </c>
    </row>
    <row r="36" spans="1:16">
      <c r="A36" s="778"/>
      <c r="B36" s="768"/>
      <c r="C36" s="768"/>
      <c r="D36" s="768" t="s">
        <v>892</v>
      </c>
      <c r="E36" s="768" t="s">
        <v>949</v>
      </c>
      <c r="F36" s="769" t="s">
        <v>950</v>
      </c>
      <c r="G36" s="769"/>
      <c r="H36" s="770"/>
      <c r="I36" s="779" t="s">
        <v>895</v>
      </c>
      <c r="J36" s="797">
        <f>J6</f>
        <v>42217</v>
      </c>
      <c r="K36" s="797">
        <f>+K8</f>
        <v>42308</v>
      </c>
      <c r="L36" s="952">
        <f t="shared" si="12"/>
        <v>0</v>
      </c>
      <c r="M36" s="938">
        <f t="shared" si="0"/>
        <v>42309</v>
      </c>
      <c r="N36" s="958">
        <f>N$8</f>
        <v>0</v>
      </c>
      <c r="O36" s="959"/>
    </row>
    <row r="37" spans="1:16">
      <c r="A37" s="778"/>
      <c r="B37" s="768"/>
      <c r="C37" s="768"/>
      <c r="D37" s="768" t="s">
        <v>896</v>
      </c>
      <c r="E37" s="768" t="s">
        <v>951</v>
      </c>
      <c r="F37" s="769" t="s">
        <v>952</v>
      </c>
      <c r="G37" s="769"/>
      <c r="H37" s="770"/>
      <c r="I37" s="779" t="s">
        <v>895</v>
      </c>
      <c r="J37" s="797">
        <f t="shared" ref="J37:J41" si="13">J7</f>
        <v>42217</v>
      </c>
      <c r="K37" s="797">
        <f t="shared" ref="K37:K41" si="14">+K9</f>
        <v>42308</v>
      </c>
      <c r="L37" s="952">
        <f t="shared" si="12"/>
        <v>-7.2739999999999999E-2</v>
      </c>
      <c r="M37" s="938">
        <f t="shared" si="0"/>
        <v>42309</v>
      </c>
      <c r="N37" s="958">
        <f>N$9</f>
        <v>-6.4920000000000005E-2</v>
      </c>
      <c r="O37" s="959"/>
    </row>
    <row r="38" spans="1:16">
      <c r="A38" s="778"/>
      <c r="B38" s="768"/>
      <c r="C38" s="768"/>
      <c r="D38" s="768" t="s">
        <v>899</v>
      </c>
      <c r="E38" s="768" t="s">
        <v>953</v>
      </c>
      <c r="F38" s="769" t="s">
        <v>954</v>
      </c>
      <c r="G38" s="769"/>
      <c r="H38" s="770"/>
      <c r="I38" s="779" t="s">
        <v>895</v>
      </c>
      <c r="J38" s="797">
        <f t="shared" si="13"/>
        <v>42217</v>
      </c>
      <c r="K38" s="797">
        <f t="shared" si="14"/>
        <v>42308</v>
      </c>
      <c r="L38" s="952">
        <f t="shared" si="12"/>
        <v>0.4798</v>
      </c>
      <c r="M38" s="938">
        <f t="shared" si="0"/>
        <v>42309</v>
      </c>
      <c r="N38" s="958">
        <f>N$10</f>
        <v>0.48346999999999996</v>
      </c>
      <c r="O38" s="959"/>
    </row>
    <row r="39" spans="1:16">
      <c r="A39" s="778"/>
      <c r="B39" s="768"/>
      <c r="C39" s="768"/>
      <c r="D39" s="768" t="s">
        <v>902</v>
      </c>
      <c r="E39" s="768" t="s">
        <v>955</v>
      </c>
      <c r="F39" s="769" t="s">
        <v>956</v>
      </c>
      <c r="G39" s="769"/>
      <c r="H39" s="770"/>
      <c r="I39" s="779" t="s">
        <v>895</v>
      </c>
      <c r="J39" s="797">
        <f t="shared" si="13"/>
        <v>42217</v>
      </c>
      <c r="K39" s="797">
        <f t="shared" si="14"/>
        <v>42308</v>
      </c>
      <c r="L39" s="952">
        <f t="shared" si="12"/>
        <v>1.5270000000000001E-2</v>
      </c>
      <c r="M39" s="938">
        <f t="shared" si="0"/>
        <v>42309</v>
      </c>
      <c r="N39" s="958">
        <f>N$11</f>
        <v>1.5266676071712264E-2</v>
      </c>
      <c r="O39" s="959"/>
    </row>
    <row r="40" spans="1:16">
      <c r="A40" s="778"/>
      <c r="B40" s="768"/>
      <c r="C40" s="768"/>
      <c r="D40" s="768" t="s">
        <v>905</v>
      </c>
      <c r="E40" s="768" t="s">
        <v>957</v>
      </c>
      <c r="F40" s="769" t="s">
        <v>958</v>
      </c>
      <c r="G40" s="769"/>
      <c r="H40" s="770"/>
      <c r="I40" s="779" t="s">
        <v>895</v>
      </c>
      <c r="J40" s="797">
        <f t="shared" si="13"/>
        <v>42217</v>
      </c>
      <c r="K40" s="797">
        <f t="shared" si="14"/>
        <v>42308</v>
      </c>
      <c r="L40" s="952">
        <f t="shared" si="12"/>
        <v>0</v>
      </c>
      <c r="M40" s="938">
        <f t="shared" si="0"/>
        <v>42309</v>
      </c>
      <c r="N40" s="958">
        <f>N$12</f>
        <v>0</v>
      </c>
      <c r="O40" s="959"/>
    </row>
    <row r="41" spans="1:16" ht="18.75" thickBot="1">
      <c r="A41" s="780"/>
      <c r="B41" s="768"/>
      <c r="C41" s="768"/>
      <c r="D41" s="768"/>
      <c r="E41" s="768"/>
      <c r="F41" s="769"/>
      <c r="G41" s="769"/>
      <c r="H41" s="770"/>
      <c r="I41" s="779" t="s">
        <v>895</v>
      </c>
      <c r="J41" s="799">
        <f t="shared" si="13"/>
        <v>42217</v>
      </c>
      <c r="K41" s="797">
        <f t="shared" si="14"/>
        <v>42308</v>
      </c>
      <c r="L41" s="953"/>
      <c r="M41" s="939">
        <f t="shared" si="0"/>
        <v>42309</v>
      </c>
      <c r="N41" s="958"/>
      <c r="O41" s="959"/>
    </row>
    <row r="42" spans="1:16" s="777" customFormat="1" ht="18.75" thickBot="1">
      <c r="A42" s="781" t="s">
        <v>208</v>
      </c>
      <c r="B42" s="773" t="s">
        <v>959</v>
      </c>
      <c r="C42" s="773" t="s">
        <v>960</v>
      </c>
      <c r="D42" s="773" t="s">
        <v>882</v>
      </c>
      <c r="E42" s="773" t="s">
        <v>961</v>
      </c>
      <c r="F42" s="774" t="s">
        <v>962</v>
      </c>
      <c r="G42" s="774"/>
      <c r="H42" s="775" t="s">
        <v>963</v>
      </c>
      <c r="I42" s="776" t="s">
        <v>886</v>
      </c>
      <c r="J42" s="798">
        <f>$J$7</f>
        <v>42217</v>
      </c>
      <c r="K42" s="798">
        <f>+K7</f>
        <v>42308</v>
      </c>
      <c r="L42" s="951">
        <f t="shared" ref="L42:L47" si="15">+L7</f>
        <v>0.42232999999999998</v>
      </c>
      <c r="M42" s="937">
        <f t="shared" si="0"/>
        <v>42309</v>
      </c>
      <c r="N42" s="956">
        <f>N$7</f>
        <v>0.43381667607171226</v>
      </c>
      <c r="O42" s="957">
        <f>SUM(N43:N48)</f>
        <v>0.43381667607171226</v>
      </c>
      <c r="P42" s="777" t="b">
        <f>N42=O42</f>
        <v>1</v>
      </c>
    </row>
    <row r="43" spans="1:16">
      <c r="A43" s="778"/>
      <c r="B43" s="768"/>
      <c r="C43" s="768"/>
      <c r="D43" s="768" t="s">
        <v>892</v>
      </c>
      <c r="E43" s="768" t="s">
        <v>964</v>
      </c>
      <c r="F43" s="769" t="s">
        <v>965</v>
      </c>
      <c r="G43" s="769"/>
      <c r="H43" s="770"/>
      <c r="I43" s="779" t="s">
        <v>895</v>
      </c>
      <c r="J43" s="797">
        <f>J6</f>
        <v>42217</v>
      </c>
      <c r="K43" s="797">
        <f>+K8</f>
        <v>42308</v>
      </c>
      <c r="L43" s="952">
        <f t="shared" si="15"/>
        <v>0</v>
      </c>
      <c r="M43" s="938">
        <f t="shared" si="0"/>
        <v>42309</v>
      </c>
      <c r="N43" s="958">
        <f>N$8</f>
        <v>0</v>
      </c>
      <c r="O43" s="959"/>
    </row>
    <row r="44" spans="1:16">
      <c r="A44" s="778"/>
      <c r="B44" s="768"/>
      <c r="C44" s="768"/>
      <c r="D44" s="768" t="s">
        <v>896</v>
      </c>
      <c r="E44" s="768" t="s">
        <v>966</v>
      </c>
      <c r="F44" s="769" t="s">
        <v>967</v>
      </c>
      <c r="G44" s="769"/>
      <c r="H44" s="770"/>
      <c r="I44" s="779" t="s">
        <v>895</v>
      </c>
      <c r="J44" s="797">
        <f t="shared" ref="J44:J48" si="16">J7</f>
        <v>42217</v>
      </c>
      <c r="K44" s="797">
        <f t="shared" ref="K44:K48" si="17">+K9</f>
        <v>42308</v>
      </c>
      <c r="L44" s="952">
        <f t="shared" si="15"/>
        <v>-7.2739999999999999E-2</v>
      </c>
      <c r="M44" s="938">
        <f t="shared" si="0"/>
        <v>42309</v>
      </c>
      <c r="N44" s="958">
        <f>N$9</f>
        <v>-6.4920000000000005E-2</v>
      </c>
      <c r="O44" s="959"/>
    </row>
    <row r="45" spans="1:16">
      <c r="A45" s="778"/>
      <c r="B45" s="768"/>
      <c r="C45" s="768"/>
      <c r="D45" s="768" t="s">
        <v>899</v>
      </c>
      <c r="E45" s="768" t="s">
        <v>968</v>
      </c>
      <c r="F45" s="769" t="s">
        <v>969</v>
      </c>
      <c r="G45" s="769"/>
      <c r="H45" s="770"/>
      <c r="I45" s="779" t="s">
        <v>895</v>
      </c>
      <c r="J45" s="797">
        <f t="shared" si="16"/>
        <v>42217</v>
      </c>
      <c r="K45" s="797">
        <f t="shared" si="17"/>
        <v>42308</v>
      </c>
      <c r="L45" s="952">
        <f t="shared" si="15"/>
        <v>0.4798</v>
      </c>
      <c r="M45" s="938">
        <f t="shared" si="0"/>
        <v>42309</v>
      </c>
      <c r="N45" s="958">
        <f>N$10</f>
        <v>0.48346999999999996</v>
      </c>
      <c r="O45" s="959"/>
    </row>
    <row r="46" spans="1:16">
      <c r="A46" s="778"/>
      <c r="B46" s="768"/>
      <c r="C46" s="768"/>
      <c r="D46" s="768" t="s">
        <v>902</v>
      </c>
      <c r="E46" s="768" t="s">
        <v>970</v>
      </c>
      <c r="F46" s="769" t="s">
        <v>933</v>
      </c>
      <c r="G46" s="769"/>
      <c r="H46" s="770"/>
      <c r="I46" s="779" t="s">
        <v>895</v>
      </c>
      <c r="J46" s="797">
        <f t="shared" si="16"/>
        <v>42217</v>
      </c>
      <c r="K46" s="797">
        <f t="shared" si="17"/>
        <v>42308</v>
      </c>
      <c r="L46" s="952">
        <f t="shared" si="15"/>
        <v>1.5270000000000001E-2</v>
      </c>
      <c r="M46" s="938">
        <f t="shared" si="0"/>
        <v>42309</v>
      </c>
      <c r="N46" s="958">
        <f>N$11</f>
        <v>1.5266676071712264E-2</v>
      </c>
      <c r="O46" s="959"/>
    </row>
    <row r="47" spans="1:16">
      <c r="A47" s="778"/>
      <c r="B47" s="768"/>
      <c r="C47" s="768"/>
      <c r="D47" s="768" t="s">
        <v>905</v>
      </c>
      <c r="E47" s="768" t="s">
        <v>971</v>
      </c>
      <c r="F47" s="769" t="s">
        <v>972</v>
      </c>
      <c r="G47" s="769"/>
      <c r="H47" s="770"/>
      <c r="I47" s="779" t="s">
        <v>895</v>
      </c>
      <c r="J47" s="797">
        <f t="shared" si="16"/>
        <v>42217</v>
      </c>
      <c r="K47" s="797">
        <f t="shared" si="17"/>
        <v>42308</v>
      </c>
      <c r="L47" s="952">
        <f t="shared" si="15"/>
        <v>0</v>
      </c>
      <c r="M47" s="938">
        <f t="shared" si="0"/>
        <v>42309</v>
      </c>
      <c r="N47" s="958">
        <f>N$12</f>
        <v>0</v>
      </c>
      <c r="O47" s="959"/>
    </row>
    <row r="48" spans="1:16" ht="18.75" thickBot="1">
      <c r="A48" s="780"/>
      <c r="B48" s="768"/>
      <c r="C48" s="768"/>
      <c r="D48" s="768"/>
      <c r="E48" s="768"/>
      <c r="F48" s="769"/>
      <c r="G48" s="769"/>
      <c r="H48" s="770"/>
      <c r="I48" s="779" t="s">
        <v>895</v>
      </c>
      <c r="J48" s="799">
        <f t="shared" si="16"/>
        <v>42217</v>
      </c>
      <c r="K48" s="797">
        <f t="shared" si="17"/>
        <v>42308</v>
      </c>
      <c r="L48" s="953"/>
      <c r="M48" s="939">
        <f t="shared" si="0"/>
        <v>42309</v>
      </c>
      <c r="N48" s="958"/>
      <c r="O48" s="959"/>
    </row>
    <row r="49" spans="1:16" s="777" customFormat="1" ht="18.75" thickBot="1">
      <c r="A49" s="781" t="s">
        <v>208</v>
      </c>
      <c r="B49" s="773" t="s">
        <v>973</v>
      </c>
      <c r="C49" s="773" t="s">
        <v>960</v>
      </c>
      <c r="D49" s="773" t="s">
        <v>882</v>
      </c>
      <c r="E49" s="773" t="s">
        <v>961</v>
      </c>
      <c r="F49" s="774" t="s">
        <v>962</v>
      </c>
      <c r="G49" s="774"/>
      <c r="H49" s="775" t="s">
        <v>963</v>
      </c>
      <c r="I49" s="776" t="s">
        <v>886</v>
      </c>
      <c r="J49" s="798">
        <f>$J$7</f>
        <v>42217</v>
      </c>
      <c r="K49" s="798">
        <f>+K7</f>
        <v>42308</v>
      </c>
      <c r="L49" s="951">
        <f t="shared" ref="L49:L54" si="18">+L7</f>
        <v>0.42232999999999998</v>
      </c>
      <c r="M49" s="937">
        <f t="shared" si="0"/>
        <v>42309</v>
      </c>
      <c r="N49" s="956">
        <f>N$7</f>
        <v>0.43381667607171226</v>
      </c>
      <c r="O49" s="957">
        <f>SUM(N50:N55)</f>
        <v>0.43381667607171226</v>
      </c>
      <c r="P49" s="777" t="b">
        <f>N49=O49</f>
        <v>1</v>
      </c>
    </row>
    <row r="50" spans="1:16">
      <c r="A50" s="778"/>
      <c r="B50" s="768"/>
      <c r="C50" s="768"/>
      <c r="D50" s="768" t="s">
        <v>892</v>
      </c>
      <c r="E50" s="768" t="s">
        <v>964</v>
      </c>
      <c r="F50" s="769" t="s">
        <v>965</v>
      </c>
      <c r="G50" s="769"/>
      <c r="H50" s="770"/>
      <c r="I50" s="779" t="s">
        <v>895</v>
      </c>
      <c r="J50" s="797">
        <f>J6</f>
        <v>42217</v>
      </c>
      <c r="K50" s="797">
        <f>+K8</f>
        <v>42308</v>
      </c>
      <c r="L50" s="952">
        <f t="shared" si="18"/>
        <v>0</v>
      </c>
      <c r="M50" s="938">
        <f t="shared" si="0"/>
        <v>42309</v>
      </c>
      <c r="N50" s="958">
        <f>N$8</f>
        <v>0</v>
      </c>
      <c r="O50" s="959"/>
    </row>
    <row r="51" spans="1:16">
      <c r="A51" s="778"/>
      <c r="B51" s="768"/>
      <c r="C51" s="768"/>
      <c r="D51" s="768" t="s">
        <v>896</v>
      </c>
      <c r="E51" s="768" t="s">
        <v>966</v>
      </c>
      <c r="F51" s="769" t="s">
        <v>967</v>
      </c>
      <c r="G51" s="769"/>
      <c r="H51" s="770"/>
      <c r="I51" s="779" t="s">
        <v>895</v>
      </c>
      <c r="J51" s="797">
        <f t="shared" ref="J51:J55" si="19">J7</f>
        <v>42217</v>
      </c>
      <c r="K51" s="797">
        <f t="shared" ref="K51:K55" si="20">+K9</f>
        <v>42308</v>
      </c>
      <c r="L51" s="952">
        <f t="shared" si="18"/>
        <v>-7.2739999999999999E-2</v>
      </c>
      <c r="M51" s="938">
        <f t="shared" si="0"/>
        <v>42309</v>
      </c>
      <c r="N51" s="958">
        <f>N$9</f>
        <v>-6.4920000000000005E-2</v>
      </c>
      <c r="O51" s="959"/>
    </row>
    <row r="52" spans="1:16">
      <c r="A52" s="778"/>
      <c r="B52" s="768"/>
      <c r="C52" s="768"/>
      <c r="D52" s="768" t="s">
        <v>899</v>
      </c>
      <c r="E52" s="768" t="s">
        <v>968</v>
      </c>
      <c r="F52" s="769" t="s">
        <v>969</v>
      </c>
      <c r="G52" s="769"/>
      <c r="H52" s="770"/>
      <c r="I52" s="779" t="s">
        <v>895</v>
      </c>
      <c r="J52" s="797">
        <f t="shared" si="19"/>
        <v>42217</v>
      </c>
      <c r="K52" s="797">
        <f t="shared" si="20"/>
        <v>42308</v>
      </c>
      <c r="L52" s="952">
        <f t="shared" si="18"/>
        <v>0.4798</v>
      </c>
      <c r="M52" s="938">
        <f t="shared" si="0"/>
        <v>42309</v>
      </c>
      <c r="N52" s="958">
        <f>N$10</f>
        <v>0.48346999999999996</v>
      </c>
      <c r="O52" s="959"/>
    </row>
    <row r="53" spans="1:16">
      <c r="A53" s="778"/>
      <c r="B53" s="768"/>
      <c r="C53" s="768"/>
      <c r="D53" s="768" t="s">
        <v>902</v>
      </c>
      <c r="E53" s="768" t="s">
        <v>970</v>
      </c>
      <c r="F53" s="769" t="s">
        <v>933</v>
      </c>
      <c r="G53" s="769"/>
      <c r="H53" s="770"/>
      <c r="I53" s="779" t="s">
        <v>895</v>
      </c>
      <c r="J53" s="797">
        <f t="shared" si="19"/>
        <v>42217</v>
      </c>
      <c r="K53" s="797">
        <f t="shared" si="20"/>
        <v>42308</v>
      </c>
      <c r="L53" s="952">
        <f t="shared" si="18"/>
        <v>1.5270000000000001E-2</v>
      </c>
      <c r="M53" s="938">
        <f t="shared" si="0"/>
        <v>42309</v>
      </c>
      <c r="N53" s="958">
        <f>N$11</f>
        <v>1.5266676071712264E-2</v>
      </c>
      <c r="O53" s="959"/>
    </row>
    <row r="54" spans="1:16">
      <c r="A54" s="778"/>
      <c r="B54" s="768"/>
      <c r="C54" s="768"/>
      <c r="D54" s="768" t="s">
        <v>905</v>
      </c>
      <c r="E54" s="768" t="s">
        <v>971</v>
      </c>
      <c r="F54" s="769" t="s">
        <v>972</v>
      </c>
      <c r="G54" s="769"/>
      <c r="H54" s="770"/>
      <c r="I54" s="779" t="s">
        <v>895</v>
      </c>
      <c r="J54" s="797">
        <f t="shared" si="19"/>
        <v>42217</v>
      </c>
      <c r="K54" s="797">
        <f t="shared" si="20"/>
        <v>42308</v>
      </c>
      <c r="L54" s="952">
        <f t="shared" si="18"/>
        <v>0</v>
      </c>
      <c r="M54" s="938">
        <f t="shared" si="0"/>
        <v>42309</v>
      </c>
      <c r="N54" s="958">
        <f>N$12</f>
        <v>0</v>
      </c>
      <c r="O54" s="959"/>
    </row>
    <row r="55" spans="1:16">
      <c r="A55" s="782"/>
      <c r="B55" s="783"/>
      <c r="C55" s="783"/>
      <c r="D55" s="783"/>
      <c r="E55" s="783"/>
      <c r="F55" s="784"/>
      <c r="G55" s="784"/>
      <c r="H55" s="785"/>
      <c r="I55" s="786" t="s">
        <v>895</v>
      </c>
      <c r="J55" s="799">
        <f t="shared" si="19"/>
        <v>42217</v>
      </c>
      <c r="K55" s="797">
        <f t="shared" si="20"/>
        <v>42308</v>
      </c>
      <c r="L55" s="953"/>
      <c r="M55" s="939">
        <f t="shared" si="0"/>
        <v>42309</v>
      </c>
      <c r="N55" s="961"/>
      <c r="O55" s="961"/>
    </row>
    <row r="56" spans="1:16" ht="18.75" thickBot="1">
      <c r="E56" s="787"/>
      <c r="F56" s="787"/>
      <c r="G56" s="788"/>
      <c r="H56" s="789"/>
      <c r="I56" s="790"/>
      <c r="J56" s="791"/>
      <c r="K56" s="792"/>
      <c r="L56" s="793"/>
      <c r="M56" s="794"/>
      <c r="N56" s="792"/>
    </row>
    <row r="57" spans="1:16">
      <c r="E57" s="747" t="s">
        <v>974</v>
      </c>
      <c r="I57" s="749" t="s">
        <v>18</v>
      </c>
      <c r="K57" s="749" t="s">
        <v>975</v>
      </c>
      <c r="N57" s="795" t="s">
        <v>18</v>
      </c>
    </row>
  </sheetData>
  <mergeCells count="2">
    <mergeCell ref="F4:I4"/>
    <mergeCell ref="J4:K4"/>
  </mergeCells>
  <printOptions horizontalCentered="1"/>
  <pageMargins left="0.75" right="0.05" top="0.75" bottom="0.75" header="0.5" footer="0.5"/>
  <pageSetup scale="35" orientation="landscape" r:id="rId1"/>
  <headerFooter alignWithMargins="0"/>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K55"/>
  <sheetViews>
    <sheetView showGridLines="0" zoomScale="80" zoomScaleNormal="80" zoomScalePageLayoutView="85" workbookViewId="0">
      <selection activeCell="E33" sqref="E33"/>
    </sheetView>
  </sheetViews>
  <sheetFormatPr defaultColWidth="2.85546875" defaultRowHeight="12.75"/>
  <cols>
    <col min="1" max="1" width="4.28515625" style="1" customWidth="1"/>
    <col min="2" max="2" width="2.85546875" style="1"/>
    <col min="3" max="3" width="3.85546875" style="1" customWidth="1"/>
    <col min="4" max="7" width="2.85546875" style="1"/>
    <col min="8" max="8" width="5.42578125" style="1" customWidth="1"/>
    <col min="9" max="9" width="2.85546875" style="1"/>
    <col min="10" max="10" width="4.85546875" style="1" customWidth="1"/>
    <col min="11" max="13" width="2.85546875" style="1"/>
    <col min="14" max="14" width="10.42578125" style="1" customWidth="1"/>
    <col min="15" max="15" width="5.28515625" style="1" customWidth="1"/>
    <col min="16" max="16" width="8.140625" style="1" bestFit="1" customWidth="1"/>
    <col min="17" max="17" width="4.42578125" style="1" customWidth="1"/>
    <col min="18" max="18" width="10.85546875" style="1" customWidth="1"/>
    <col min="19" max="19" width="3.140625" style="1" customWidth="1"/>
    <col min="20" max="20" width="4.5703125" style="1" customWidth="1"/>
    <col min="21" max="21" width="1.85546875" style="1" customWidth="1"/>
    <col min="22" max="22" width="3" style="36" bestFit="1" customWidth="1"/>
    <col min="23" max="23" width="2.42578125" style="36" customWidth="1"/>
    <col min="24" max="24" width="2.5703125" style="36" bestFit="1" customWidth="1"/>
    <col min="25" max="25" width="2.85546875" style="36"/>
    <col min="26" max="16384" width="2.85546875" style="1"/>
  </cols>
  <sheetData>
    <row r="1" spans="1:37" ht="19.5" customHeight="1">
      <c r="A1" s="37"/>
      <c r="B1" s="37"/>
      <c r="C1" s="37"/>
      <c r="D1" s="37"/>
      <c r="E1" s="37"/>
      <c r="F1" s="37"/>
      <c r="G1" s="37"/>
      <c r="H1" s="37"/>
      <c r="I1" s="37"/>
      <c r="J1" s="37"/>
      <c r="K1" s="37"/>
      <c r="L1" s="37"/>
      <c r="M1" s="37"/>
      <c r="N1" s="37"/>
      <c r="O1" s="37"/>
      <c r="P1" s="688" t="s">
        <v>847</v>
      </c>
      <c r="Q1" s="689"/>
      <c r="R1" s="689"/>
      <c r="S1" s="689"/>
      <c r="T1" s="690"/>
      <c r="U1" s="690"/>
      <c r="V1" s="691"/>
      <c r="W1" s="38"/>
      <c r="X1" s="37"/>
      <c r="Y1" s="37"/>
      <c r="Z1" s="37"/>
      <c r="AA1" s="37"/>
      <c r="AB1" s="37"/>
      <c r="AC1" s="37"/>
      <c r="AD1" s="37"/>
      <c r="AE1" s="37"/>
      <c r="AF1" s="37"/>
      <c r="AG1" s="37"/>
      <c r="AH1" s="37"/>
      <c r="AI1" s="37"/>
      <c r="AJ1" s="37"/>
      <c r="AK1" s="37"/>
    </row>
    <row r="2" spans="1:37" ht="19.5" customHeight="1">
      <c r="A2" s="37"/>
      <c r="B2" s="37"/>
      <c r="C2" s="37"/>
      <c r="D2" s="37"/>
      <c r="E2" s="37"/>
      <c r="F2" s="37"/>
      <c r="G2" s="37"/>
      <c r="H2" s="37"/>
      <c r="I2" s="37"/>
      <c r="J2" s="37"/>
      <c r="K2" s="37"/>
      <c r="L2" s="37"/>
      <c r="M2" s="37"/>
      <c r="N2" s="37"/>
      <c r="O2" s="37"/>
      <c r="Q2" s="984" t="s">
        <v>1032</v>
      </c>
      <c r="R2" s="689"/>
      <c r="S2" s="689"/>
      <c r="T2" s="690"/>
      <c r="U2" s="690"/>
      <c r="V2" s="691"/>
      <c r="W2" s="38"/>
      <c r="X2" s="37"/>
      <c r="Y2" s="68"/>
      <c r="Z2" s="37"/>
      <c r="AA2" s="37"/>
      <c r="AB2" s="37"/>
      <c r="AC2" s="37"/>
      <c r="AD2" s="37"/>
      <c r="AE2" s="37"/>
      <c r="AF2" s="37"/>
      <c r="AG2" s="37"/>
      <c r="AH2" s="37"/>
      <c r="AI2" s="37"/>
      <c r="AJ2" s="37"/>
      <c r="AK2" s="37"/>
    </row>
    <row r="3" spans="1:37" ht="19.5" customHeight="1">
      <c r="A3" s="37"/>
      <c r="B3" s="37"/>
      <c r="C3" s="67"/>
      <c r="D3" s="37"/>
      <c r="E3" s="37"/>
      <c r="F3" s="37"/>
      <c r="G3" s="37"/>
      <c r="H3" s="37"/>
      <c r="I3" s="37"/>
      <c r="J3" s="37"/>
      <c r="K3" s="37"/>
      <c r="L3" s="37"/>
      <c r="M3" s="37"/>
      <c r="N3" s="37"/>
      <c r="O3" s="37"/>
      <c r="Q3" s="986" t="str">
        <f>CONCATENATE(Control!B9," REVISED SHEET NO. 5")</f>
        <v>EIGHTH REVISED SHEET NO. 5</v>
      </c>
      <c r="R3" s="692"/>
      <c r="S3" s="692"/>
      <c r="T3" s="690"/>
      <c r="U3" s="690"/>
      <c r="V3" s="691"/>
      <c r="W3" s="38"/>
      <c r="X3" s="37"/>
      <c r="Y3" s="37"/>
      <c r="Z3" s="37"/>
      <c r="AA3" s="37"/>
      <c r="AB3" s="37"/>
      <c r="AC3" s="37"/>
      <c r="AD3" s="37"/>
      <c r="AE3" s="37"/>
      <c r="AF3" s="37"/>
      <c r="AG3" s="37"/>
      <c r="AH3" s="37"/>
      <c r="AI3" s="37"/>
      <c r="AJ3" s="37"/>
      <c r="AK3" s="37"/>
    </row>
    <row r="4" spans="1:37" ht="19.5" customHeight="1">
      <c r="A4" s="37"/>
      <c r="B4" s="1102" t="s">
        <v>78</v>
      </c>
      <c r="C4" s="1102"/>
      <c r="D4" s="1102"/>
      <c r="E4" s="1102"/>
      <c r="F4" s="1102"/>
      <c r="G4" s="1102"/>
      <c r="H4" s="1102"/>
      <c r="I4" s="1102"/>
      <c r="J4" s="1102"/>
      <c r="K4" s="1102"/>
      <c r="L4" s="1102"/>
      <c r="M4" s="37"/>
      <c r="N4" s="37"/>
      <c r="O4" s="37"/>
      <c r="Q4" s="986" t="s">
        <v>848</v>
      </c>
      <c r="R4" s="692"/>
      <c r="S4" s="692"/>
      <c r="T4" s="690"/>
      <c r="U4" s="690"/>
      <c r="V4" s="691"/>
      <c r="W4" s="38"/>
      <c r="X4" s="37"/>
      <c r="Y4" s="37"/>
      <c r="Z4" s="37"/>
      <c r="AA4" s="37"/>
      <c r="AB4" s="37"/>
      <c r="AC4" s="37"/>
      <c r="AD4" s="37"/>
      <c r="AE4" s="37"/>
      <c r="AF4" s="37"/>
      <c r="AG4" s="37"/>
      <c r="AH4" s="37"/>
      <c r="AI4" s="37"/>
      <c r="AJ4" s="37"/>
      <c r="AK4" s="37"/>
    </row>
    <row r="5" spans="1:37" ht="19.5" customHeight="1">
      <c r="A5" s="37"/>
      <c r="B5" s="1113" t="s">
        <v>846</v>
      </c>
      <c r="C5" s="1113"/>
      <c r="D5" s="1113"/>
      <c r="E5" s="1113"/>
      <c r="F5" s="1113"/>
      <c r="G5" s="1113"/>
      <c r="H5" s="1113"/>
      <c r="I5" s="1113"/>
      <c r="J5" s="1113"/>
      <c r="K5" s="1113"/>
      <c r="L5" s="45"/>
      <c r="M5" s="45"/>
      <c r="N5" s="45"/>
      <c r="O5" s="45"/>
      <c r="Q5" s="987" t="str">
        <f>CONCATENATE(Control!C9," REVISED SHEET NO. 5")</f>
        <v>SEVENTH REVISED SHEET NO. 5</v>
      </c>
      <c r="R5" s="693"/>
      <c r="S5" s="693"/>
      <c r="T5" s="694"/>
      <c r="U5" s="690"/>
      <c r="V5" s="691"/>
      <c r="W5" s="38"/>
      <c r="X5" s="37"/>
      <c r="Y5" s="37"/>
      <c r="Z5" s="37"/>
      <c r="AA5" s="37"/>
      <c r="AB5" s="37"/>
      <c r="AC5" s="37"/>
      <c r="AD5" s="37"/>
      <c r="AE5" s="37"/>
      <c r="AF5" s="37"/>
      <c r="AG5" s="37"/>
      <c r="AH5" s="37"/>
      <c r="AI5" s="37"/>
      <c r="AJ5" s="37"/>
      <c r="AK5" s="37"/>
    </row>
    <row r="6" spans="1:37" ht="6" customHeight="1" thickBot="1">
      <c r="A6" s="37"/>
      <c r="B6" s="681"/>
      <c r="C6" s="681"/>
      <c r="D6" s="681"/>
      <c r="E6" s="681"/>
      <c r="F6" s="681"/>
      <c r="G6" s="681"/>
      <c r="H6" s="681"/>
      <c r="I6" s="681"/>
      <c r="J6" s="680"/>
      <c r="K6" s="680"/>
      <c r="L6" s="680"/>
      <c r="M6" s="680"/>
      <c r="N6" s="680"/>
      <c r="O6" s="680"/>
      <c r="P6" s="695"/>
      <c r="Q6" s="696"/>
      <c r="R6" s="696"/>
      <c r="S6" s="696"/>
      <c r="T6" s="697"/>
      <c r="U6" s="697"/>
      <c r="V6" s="698"/>
      <c r="W6" s="38"/>
      <c r="X6" s="37"/>
      <c r="Y6" s="37"/>
      <c r="Z6" s="37"/>
      <c r="AA6" s="37"/>
      <c r="AB6" s="37"/>
      <c r="AC6" s="37"/>
      <c r="AD6" s="37"/>
      <c r="AE6" s="37"/>
      <c r="AF6" s="37"/>
      <c r="AG6" s="37"/>
      <c r="AH6" s="37"/>
      <c r="AI6" s="37"/>
      <c r="AJ6" s="37"/>
      <c r="AK6" s="37"/>
    </row>
    <row r="7" spans="1:37" ht="9" customHeight="1">
      <c r="A7" s="37"/>
      <c r="C7" s="37"/>
      <c r="D7" s="37"/>
      <c r="E7" s="37"/>
      <c r="F7" s="37"/>
      <c r="G7" s="37"/>
      <c r="H7" s="37"/>
      <c r="I7" s="37"/>
      <c r="J7" s="37"/>
      <c r="K7" s="37"/>
      <c r="L7" s="37"/>
      <c r="M7" s="37"/>
      <c r="N7" s="37"/>
      <c r="O7" s="37"/>
      <c r="P7" s="37"/>
      <c r="Q7" s="37"/>
      <c r="R7" s="37"/>
      <c r="S7" s="37"/>
      <c r="T7" s="37"/>
      <c r="U7" s="37"/>
      <c r="V7" s="38"/>
      <c r="W7" s="38"/>
      <c r="X7" s="37"/>
      <c r="Y7" s="37"/>
      <c r="Z7" s="37"/>
      <c r="AA7" s="37"/>
      <c r="AB7" s="37"/>
      <c r="AC7" s="37"/>
      <c r="AD7" s="37"/>
      <c r="AE7" s="37"/>
      <c r="AF7" s="37"/>
      <c r="AG7" s="37"/>
      <c r="AH7" s="37"/>
      <c r="AI7" s="37"/>
      <c r="AJ7" s="37"/>
      <c r="AK7" s="37"/>
    </row>
    <row r="8" spans="1:37" ht="15.75">
      <c r="A8" s="45"/>
      <c r="B8" s="1117" t="s">
        <v>727</v>
      </c>
      <c r="C8" s="1118"/>
      <c r="D8" s="1118"/>
      <c r="E8" s="1118"/>
      <c r="F8" s="1118"/>
      <c r="G8" s="1118"/>
      <c r="H8" s="1118"/>
      <c r="I8" s="1118"/>
      <c r="J8" s="1118"/>
      <c r="K8" s="1118"/>
      <c r="L8" s="1118"/>
      <c r="M8" s="1118"/>
      <c r="N8" s="1118"/>
      <c r="O8" s="1118"/>
      <c r="P8" s="1118"/>
      <c r="Q8" s="1118"/>
      <c r="R8" s="1118"/>
      <c r="S8" s="1118"/>
      <c r="T8" s="1119"/>
      <c r="U8" s="37"/>
      <c r="V8" s="38"/>
      <c r="W8" s="38"/>
      <c r="X8" s="38"/>
    </row>
    <row r="9" spans="1:37" ht="15" customHeight="1">
      <c r="A9" s="45"/>
      <c r="B9" s="1120" t="str">
        <f>T.4!B9</f>
        <v>Case No. 2015-00000</v>
      </c>
      <c r="C9" s="1121"/>
      <c r="D9" s="1121"/>
      <c r="E9" s="1121"/>
      <c r="F9" s="1121"/>
      <c r="G9" s="1121"/>
      <c r="H9" s="1121"/>
      <c r="I9" s="1121"/>
      <c r="J9" s="1121"/>
      <c r="K9" s="1121"/>
      <c r="L9" s="1121"/>
      <c r="M9" s="1121"/>
      <c r="N9" s="1121"/>
      <c r="O9" s="1121"/>
      <c r="P9" s="1121"/>
      <c r="Q9" s="1121"/>
      <c r="R9" s="1121"/>
      <c r="S9" s="1121"/>
      <c r="T9" s="1122"/>
      <c r="U9" s="37"/>
      <c r="V9" s="38"/>
      <c r="W9" s="38"/>
      <c r="X9" s="38"/>
    </row>
    <row r="10" spans="1:37">
      <c r="A10" s="45"/>
      <c r="B10" s="46"/>
      <c r="C10" s="45"/>
      <c r="D10" s="45"/>
      <c r="E10" s="45"/>
      <c r="F10" s="45"/>
      <c r="G10" s="45"/>
      <c r="H10" s="45"/>
      <c r="I10" s="45"/>
      <c r="J10" s="45"/>
      <c r="K10" s="45"/>
      <c r="L10" s="45"/>
      <c r="M10" s="45"/>
      <c r="N10" s="45"/>
      <c r="O10" s="45"/>
      <c r="P10" s="45"/>
      <c r="Q10" s="45"/>
      <c r="R10" s="45"/>
      <c r="S10" s="45"/>
      <c r="T10" s="44"/>
      <c r="U10" s="37"/>
      <c r="V10" s="38"/>
      <c r="W10" s="38"/>
      <c r="X10" s="38"/>
    </row>
    <row r="11" spans="1:37">
      <c r="A11" s="45"/>
      <c r="B11" s="46"/>
      <c r="C11" s="55" t="s">
        <v>88</v>
      </c>
      <c r="D11" s="45"/>
      <c r="E11" s="45"/>
      <c r="F11" s="45"/>
      <c r="G11" s="45"/>
      <c r="H11" s="45"/>
      <c r="I11" s="45"/>
      <c r="J11" s="45"/>
      <c r="K11" s="45"/>
      <c r="L11" s="45"/>
      <c r="M11" s="45"/>
      <c r="N11" s="45"/>
      <c r="O11" s="45"/>
      <c r="P11" s="45"/>
      <c r="Q11" s="45"/>
      <c r="R11" s="45"/>
      <c r="S11" s="45"/>
      <c r="T11" s="44"/>
      <c r="U11" s="37"/>
      <c r="V11" s="38"/>
      <c r="W11" s="38"/>
      <c r="X11" s="38"/>
    </row>
    <row r="12" spans="1:37">
      <c r="A12" s="45"/>
      <c r="B12" s="46"/>
      <c r="C12" s="45"/>
      <c r="D12" s="45"/>
      <c r="E12" s="45"/>
      <c r="F12" s="45"/>
      <c r="G12" s="45"/>
      <c r="H12" s="45"/>
      <c r="I12" s="45"/>
      <c r="J12" s="45"/>
      <c r="K12" s="45"/>
      <c r="L12" s="45"/>
      <c r="M12" s="45"/>
      <c r="N12" s="45"/>
      <c r="O12" s="45"/>
      <c r="P12" s="45"/>
      <c r="Q12" s="45"/>
      <c r="R12" s="45"/>
      <c r="S12" s="45"/>
      <c r="T12" s="44"/>
      <c r="U12" s="37"/>
      <c r="V12" s="38"/>
      <c r="W12" s="38"/>
      <c r="X12" s="38"/>
    </row>
    <row r="13" spans="1:37">
      <c r="A13" s="45"/>
      <c r="B13" s="46"/>
      <c r="C13" s="45" t="s">
        <v>87</v>
      </c>
      <c r="D13" s="45"/>
      <c r="E13" s="45"/>
      <c r="F13" s="45"/>
      <c r="G13" s="45"/>
      <c r="H13" s="45"/>
      <c r="I13" s="45"/>
      <c r="J13" s="45"/>
      <c r="K13" s="45"/>
      <c r="L13" s="45"/>
      <c r="M13" s="45"/>
      <c r="N13" s="45"/>
      <c r="O13" s="45"/>
      <c r="P13" s="45"/>
      <c r="Q13" s="45"/>
      <c r="R13" s="45"/>
      <c r="S13" s="45"/>
      <c r="T13" s="44"/>
      <c r="U13" s="37"/>
      <c r="V13" s="38"/>
      <c r="W13" s="38"/>
      <c r="X13" s="38"/>
    </row>
    <row r="14" spans="1:37">
      <c r="A14" s="45"/>
      <c r="B14" s="46"/>
      <c r="C14" s="45"/>
      <c r="D14" s="45"/>
      <c r="E14" s="45"/>
      <c r="F14" s="45"/>
      <c r="G14" s="45"/>
      <c r="H14" s="45"/>
      <c r="I14" s="45"/>
      <c r="J14" s="45"/>
      <c r="K14" s="45"/>
      <c r="L14" s="45"/>
      <c r="M14" s="45"/>
      <c r="N14" s="45"/>
      <c r="O14" s="45"/>
      <c r="P14" s="45"/>
      <c r="Q14" s="45"/>
      <c r="R14" s="45"/>
      <c r="S14" s="45"/>
      <c r="T14" s="44"/>
      <c r="U14" s="37"/>
      <c r="V14" s="38"/>
      <c r="W14" s="38"/>
      <c r="X14" s="38"/>
    </row>
    <row r="15" spans="1:37">
      <c r="A15" s="45"/>
      <c r="B15" s="46"/>
      <c r="C15" s="45"/>
      <c r="D15" s="45" t="s">
        <v>86</v>
      </c>
      <c r="E15" s="45"/>
      <c r="F15" s="45"/>
      <c r="G15" s="45"/>
      <c r="H15" s="45"/>
      <c r="I15" s="45"/>
      <c r="J15" s="45"/>
      <c r="K15" s="45"/>
      <c r="L15" s="45"/>
      <c r="M15" s="45"/>
      <c r="N15" s="45"/>
      <c r="O15" s="45"/>
      <c r="P15" s="45"/>
      <c r="Q15" s="45"/>
      <c r="R15" s="45"/>
      <c r="S15" s="45"/>
      <c r="T15" s="44"/>
      <c r="U15" s="37"/>
      <c r="V15" s="38"/>
      <c r="W15" s="38"/>
      <c r="X15" s="38"/>
    </row>
    <row r="16" spans="1:37">
      <c r="A16" s="45"/>
      <c r="B16" s="46"/>
      <c r="C16" s="45"/>
      <c r="D16" s="45"/>
      <c r="E16" s="45"/>
      <c r="F16" s="45"/>
      <c r="G16" s="45"/>
      <c r="H16" s="45"/>
      <c r="I16" s="45"/>
      <c r="J16" s="45"/>
      <c r="K16" s="45"/>
      <c r="L16" s="45"/>
      <c r="M16" s="45"/>
      <c r="N16" s="45"/>
      <c r="O16" s="45"/>
      <c r="P16" s="45"/>
      <c r="Q16" s="45"/>
      <c r="R16" s="45"/>
      <c r="S16" s="45"/>
      <c r="T16" s="44"/>
      <c r="U16" s="37"/>
      <c r="V16" s="38"/>
      <c r="W16" s="38"/>
      <c r="X16" s="38"/>
    </row>
    <row r="17" spans="1:24">
      <c r="A17" s="45"/>
      <c r="B17" s="46"/>
      <c r="C17" s="45"/>
      <c r="D17" s="45"/>
      <c r="E17" s="45"/>
      <c r="F17" s="45" t="s">
        <v>85</v>
      </c>
      <c r="G17" s="45"/>
      <c r="H17" s="45"/>
      <c r="I17" s="45"/>
      <c r="J17" s="45"/>
      <c r="K17" s="45"/>
      <c r="L17" s="45"/>
      <c r="M17" s="45"/>
      <c r="N17" s="45"/>
      <c r="O17" s="45"/>
      <c r="P17" s="45"/>
      <c r="Q17" s="45"/>
      <c r="R17" s="45"/>
      <c r="S17" s="45"/>
      <c r="T17" s="44"/>
      <c r="U17" s="37"/>
      <c r="V17" s="38"/>
      <c r="W17" s="38"/>
      <c r="X17" s="38"/>
    </row>
    <row r="18" spans="1:24">
      <c r="A18" s="45"/>
      <c r="B18" s="46"/>
      <c r="C18" s="45"/>
      <c r="D18" s="45"/>
      <c r="E18" s="45"/>
      <c r="F18" s="45"/>
      <c r="G18" s="45"/>
      <c r="H18" s="45"/>
      <c r="I18" s="45"/>
      <c r="J18" s="45"/>
      <c r="K18" s="45"/>
      <c r="L18" s="45"/>
      <c r="M18" s="45"/>
      <c r="N18" s="45"/>
      <c r="O18" s="45"/>
      <c r="P18" s="45"/>
      <c r="Q18" s="45"/>
      <c r="R18" s="45"/>
      <c r="S18" s="45"/>
      <c r="T18" s="44"/>
      <c r="U18" s="37"/>
      <c r="V18" s="38"/>
      <c r="W18" s="38"/>
      <c r="X18" s="38"/>
    </row>
    <row r="19" spans="1:24">
      <c r="A19" s="45"/>
      <c r="B19" s="46"/>
      <c r="C19" s="45"/>
      <c r="D19" s="45"/>
      <c r="E19" s="45"/>
      <c r="F19" s="45"/>
      <c r="G19" s="45"/>
      <c r="H19" s="45"/>
      <c r="I19" s="45"/>
      <c r="J19" s="45"/>
      <c r="K19" s="45"/>
      <c r="L19" s="45"/>
      <c r="M19" s="45"/>
      <c r="N19" s="64"/>
      <c r="O19" s="64"/>
      <c r="Q19" s="64"/>
      <c r="R19" s="64"/>
      <c r="S19" s="64"/>
      <c r="T19" s="44"/>
      <c r="U19" s="37"/>
      <c r="V19" s="38"/>
      <c r="W19" s="38"/>
      <c r="X19" s="38"/>
    </row>
    <row r="20" spans="1:24">
      <c r="A20" s="45"/>
      <c r="B20" s="46"/>
      <c r="C20" s="55" t="s">
        <v>34</v>
      </c>
      <c r="D20" s="45"/>
      <c r="E20" s="45"/>
      <c r="F20" s="45"/>
      <c r="G20" s="45"/>
      <c r="H20" s="45"/>
      <c r="I20" s="45"/>
      <c r="J20" s="45"/>
      <c r="K20" s="45"/>
      <c r="L20" s="45"/>
      <c r="M20" s="45"/>
      <c r="N20" s="73" t="s">
        <v>84</v>
      </c>
      <c r="O20" s="64"/>
      <c r="Q20" s="64"/>
      <c r="R20" s="73" t="s">
        <v>83</v>
      </c>
      <c r="S20" s="64"/>
      <c r="T20" s="44"/>
      <c r="U20" s="37"/>
      <c r="V20" s="38"/>
      <c r="W20" s="38"/>
      <c r="X20" s="38"/>
    </row>
    <row r="21" spans="1:24">
      <c r="A21" s="45"/>
      <c r="B21" s="46"/>
      <c r="C21" s="45"/>
      <c r="D21" s="45"/>
      <c r="E21" s="45"/>
      <c r="F21" s="45"/>
      <c r="G21" s="45"/>
      <c r="H21" s="45"/>
      <c r="I21" s="45"/>
      <c r="J21" s="45"/>
      <c r="K21" s="45"/>
      <c r="L21" s="45"/>
      <c r="M21" s="45"/>
      <c r="N21" s="45"/>
      <c r="O21" s="45"/>
      <c r="Q21" s="45"/>
      <c r="R21" s="45"/>
      <c r="S21" s="45"/>
      <c r="T21" s="44"/>
      <c r="U21" s="37"/>
      <c r="V21" s="38"/>
      <c r="W21" s="38"/>
      <c r="X21" s="38"/>
    </row>
    <row r="22" spans="1:24">
      <c r="A22" s="45"/>
      <c r="B22" s="46"/>
      <c r="C22" s="45" t="s">
        <v>82</v>
      </c>
      <c r="D22" s="45"/>
      <c r="E22" s="45"/>
      <c r="F22" s="45"/>
      <c r="G22" s="45"/>
      <c r="H22" s="45"/>
      <c r="I22" s="45"/>
      <c r="J22" s="45"/>
      <c r="K22" s="45"/>
      <c r="L22" s="45"/>
      <c r="M22" s="45"/>
      <c r="N22" s="62">
        <f>A.1!I20</f>
        <v>4.8346999999999998</v>
      </c>
      <c r="O22" s="62"/>
      <c r="Q22" s="62"/>
      <c r="R22" s="62">
        <f>A.1!I42</f>
        <v>3.5137999999999998</v>
      </c>
      <c r="S22" s="62"/>
      <c r="T22" s="44"/>
      <c r="U22" s="37"/>
      <c r="V22" s="52" t="str">
        <f>IF(A.1!$K$20&gt;0,"(I,",IF(A.1!$K$20&lt;0,"(R,","(-,"))</f>
        <v>(I,</v>
      </c>
      <c r="W22" s="52" t="str">
        <f>IF(A.1!$K$20&gt;0,"I)",IF(A.1!$K$20&lt;0,"R)","-"))</f>
        <v>I)</v>
      </c>
    </row>
    <row r="23" spans="1:24">
      <c r="A23" s="45"/>
      <c r="B23" s="46"/>
      <c r="C23" s="45"/>
      <c r="D23" s="45"/>
      <c r="E23" s="45"/>
      <c r="F23" s="45"/>
      <c r="G23" s="45"/>
      <c r="H23" s="45"/>
      <c r="I23" s="45"/>
      <c r="J23" s="45"/>
      <c r="K23" s="45"/>
      <c r="L23" s="45"/>
      <c r="M23" s="45"/>
      <c r="N23" s="62"/>
      <c r="O23" s="62"/>
      <c r="Q23" s="62"/>
      <c r="R23" s="62"/>
      <c r="S23" s="62"/>
      <c r="T23" s="44"/>
      <c r="U23" s="37"/>
      <c r="V23" s="38"/>
      <c r="W23" s="38"/>
    </row>
    <row r="24" spans="1:24">
      <c r="A24" s="45"/>
      <c r="B24" s="46"/>
      <c r="C24" s="45"/>
      <c r="D24" s="45"/>
      <c r="E24" s="45"/>
      <c r="F24" s="45"/>
      <c r="G24" s="45"/>
      <c r="H24" s="45"/>
      <c r="I24" s="45"/>
      <c r="J24" s="45"/>
      <c r="K24" s="45"/>
      <c r="L24" s="45"/>
      <c r="M24" s="45"/>
      <c r="N24" s="72"/>
      <c r="O24" s="62"/>
      <c r="Q24" s="62"/>
      <c r="R24" s="72"/>
      <c r="S24" s="72"/>
      <c r="T24" s="44"/>
      <c r="U24" s="37"/>
      <c r="V24" s="52"/>
      <c r="W24" s="52"/>
    </row>
    <row r="25" spans="1:24">
      <c r="A25" s="45"/>
      <c r="B25" s="46"/>
      <c r="C25" s="45" t="s">
        <v>29</v>
      </c>
      <c r="D25" s="45"/>
      <c r="E25" s="45"/>
      <c r="F25" s="45"/>
      <c r="G25" s="45"/>
      <c r="H25" s="45"/>
      <c r="I25" s="45"/>
      <c r="J25" s="45"/>
      <c r="K25" s="45"/>
      <c r="L25" s="45"/>
      <c r="M25" s="45"/>
      <c r="N25" s="63">
        <f>A.1!$I$21</f>
        <v>-0.6492</v>
      </c>
      <c r="O25" s="45"/>
      <c r="Q25" s="45"/>
      <c r="R25" s="63">
        <f>A.1!I43</f>
        <v>-0.6492</v>
      </c>
      <c r="S25" s="63"/>
      <c r="T25" s="44"/>
      <c r="U25" s="37"/>
      <c r="V25" s="59" t="str">
        <f>IF(A.1!$K$21&gt;0,"(I,",IF(A.1!$K$21&lt;0,"(R,","(-,"))</f>
        <v>(I,</v>
      </c>
      <c r="W25" s="59" t="str">
        <f>IF(A.1!$K$43&gt;0,"I)",IF(A.1!$K$43&lt;0,"R)","-)"))</f>
        <v>I)</v>
      </c>
    </row>
    <row r="26" spans="1:24">
      <c r="A26" s="45"/>
      <c r="B26" s="46"/>
      <c r="C26" s="45"/>
      <c r="D26" s="45"/>
      <c r="E26" s="45"/>
      <c r="F26" s="45"/>
      <c r="G26" s="45"/>
      <c r="H26" s="45"/>
      <c r="I26" s="45"/>
      <c r="J26" s="45"/>
      <c r="K26" s="45"/>
      <c r="L26" s="45"/>
      <c r="M26" s="45"/>
      <c r="N26" s="63"/>
      <c r="O26" s="45"/>
      <c r="Q26" s="45"/>
      <c r="R26" s="63"/>
      <c r="S26" s="63"/>
      <c r="T26" s="44"/>
      <c r="U26" s="37"/>
      <c r="V26" s="38"/>
      <c r="W26" s="38"/>
    </row>
    <row r="27" spans="1:24">
      <c r="A27" s="45"/>
      <c r="B27" s="46"/>
      <c r="C27" s="45"/>
      <c r="D27" s="45"/>
      <c r="E27" s="45"/>
      <c r="F27" s="45"/>
      <c r="G27" s="45"/>
      <c r="H27" s="45"/>
      <c r="I27" s="45"/>
      <c r="J27" s="45"/>
      <c r="K27" s="45"/>
      <c r="L27" s="45"/>
      <c r="M27" s="45"/>
      <c r="N27" s="45"/>
      <c r="O27" s="45"/>
      <c r="Q27" s="45"/>
      <c r="R27" s="45"/>
      <c r="S27" s="45"/>
      <c r="T27" s="44"/>
      <c r="U27" s="37"/>
      <c r="V27" s="38"/>
      <c r="W27" s="38"/>
    </row>
    <row r="28" spans="1:24">
      <c r="A28" s="45"/>
      <c r="B28" s="46"/>
      <c r="C28" s="45" t="s">
        <v>81</v>
      </c>
      <c r="D28" s="45"/>
      <c r="E28" s="45"/>
      <c r="F28" s="45"/>
      <c r="G28" s="45"/>
      <c r="H28" s="45"/>
      <c r="I28" s="45"/>
      <c r="J28" s="45"/>
      <c r="K28" s="45"/>
      <c r="L28" s="45"/>
      <c r="M28" s="45"/>
      <c r="N28" s="63">
        <f>A.1!$I$22</f>
        <v>0</v>
      </c>
      <c r="O28" s="45"/>
      <c r="Q28" s="45"/>
      <c r="R28" s="63">
        <f>A.1!I44</f>
        <v>0</v>
      </c>
      <c r="S28" s="63"/>
      <c r="T28" s="44"/>
      <c r="U28" s="37"/>
      <c r="V28" s="59" t="str">
        <f>IF(A.1!$K$22&gt;0,"(I,",IF(A.1!$K$22&lt;0,"(R,","(-,"))</f>
        <v>(-,</v>
      </c>
      <c r="W28" s="59" t="str">
        <f>IF(A.1!$K$44&gt;0,"I)",IF(A.1!$K$44&lt;0,"R),","-)"))</f>
        <v>-)</v>
      </c>
    </row>
    <row r="29" spans="1:24">
      <c r="A29" s="45"/>
      <c r="B29" s="46"/>
      <c r="C29" s="45"/>
      <c r="D29" s="45"/>
      <c r="E29" s="45"/>
      <c r="F29" s="45"/>
      <c r="G29" s="45"/>
      <c r="H29" s="45"/>
      <c r="I29" s="45"/>
      <c r="J29" s="45"/>
      <c r="K29" s="45"/>
      <c r="L29" s="45"/>
      <c r="M29" s="45"/>
      <c r="N29" s="63"/>
      <c r="O29" s="45"/>
      <c r="Q29" s="45"/>
      <c r="R29" s="63"/>
      <c r="S29" s="63"/>
      <c r="T29" s="44"/>
      <c r="U29" s="37"/>
      <c r="V29" s="38"/>
      <c r="W29" s="38"/>
    </row>
    <row r="30" spans="1:24">
      <c r="A30" s="45"/>
      <c r="B30" s="46"/>
      <c r="C30" s="45"/>
      <c r="D30" s="45"/>
      <c r="E30" s="45"/>
      <c r="F30" s="45"/>
      <c r="G30" s="45"/>
      <c r="H30" s="45"/>
      <c r="I30" s="45"/>
      <c r="J30" s="45"/>
      <c r="K30" s="45"/>
      <c r="L30" s="45"/>
      <c r="M30" s="45"/>
      <c r="N30" s="45"/>
      <c r="O30" s="45"/>
      <c r="Q30" s="45"/>
      <c r="R30" s="45"/>
      <c r="S30" s="45"/>
      <c r="T30" s="44"/>
      <c r="U30" s="37"/>
      <c r="V30" s="38"/>
      <c r="W30" s="38"/>
    </row>
    <row r="31" spans="1:24">
      <c r="A31" s="45"/>
      <c r="B31" s="46"/>
      <c r="C31" s="45" t="s">
        <v>80</v>
      </c>
      <c r="D31" s="45"/>
      <c r="E31" s="45"/>
      <c r="F31" s="45"/>
      <c r="G31" s="45"/>
      <c r="H31" s="45"/>
      <c r="I31" s="45"/>
      <c r="J31" s="45"/>
      <c r="K31" s="45"/>
      <c r="L31" s="45"/>
      <c r="M31" s="45"/>
      <c r="N31" s="63"/>
      <c r="O31" s="45"/>
      <c r="Q31" s="45"/>
      <c r="R31" s="63"/>
      <c r="S31" s="63"/>
      <c r="T31" s="44"/>
      <c r="U31" s="37"/>
      <c r="V31" s="38"/>
      <c r="W31" s="38"/>
    </row>
    <row r="32" spans="1:24">
      <c r="A32" s="45"/>
      <c r="B32" s="46"/>
      <c r="C32" s="45" t="s">
        <v>79</v>
      </c>
      <c r="D32" s="45"/>
      <c r="E32" s="45"/>
      <c r="F32" s="45"/>
      <c r="G32" s="45"/>
      <c r="H32" s="45"/>
      <c r="I32" s="45"/>
      <c r="J32" s="45"/>
      <c r="K32" s="45"/>
      <c r="L32" s="45"/>
      <c r="M32" s="45"/>
      <c r="N32" s="8">
        <f>A.1!$I$23</f>
        <v>0.15266676071712265</v>
      </c>
      <c r="O32" s="71"/>
      <c r="P32" s="2"/>
      <c r="Q32" s="71"/>
      <c r="R32" s="8">
        <f>A.1!I45</f>
        <v>0.15266676071712265</v>
      </c>
      <c r="S32" s="63"/>
      <c r="T32" s="44"/>
      <c r="U32" s="37"/>
      <c r="V32" s="52" t="str">
        <f>IF(A.1!$K$23&gt;0,"(I,",IF(A.1!$K$23&lt;0,"(R,","(-,"))</f>
        <v>(R,</v>
      </c>
      <c r="W32" s="59" t="str">
        <f>IF(A.1!$K$45&gt;0,"I),",IF(A.1!$K$45&lt;0,"R)","-)"))</f>
        <v>R)</v>
      </c>
    </row>
    <row r="33" spans="1:37">
      <c r="A33" s="45"/>
      <c r="B33" s="46"/>
      <c r="C33" s="45"/>
      <c r="D33" s="45"/>
      <c r="E33" s="45"/>
      <c r="F33" s="45"/>
      <c r="G33" s="45"/>
      <c r="H33" s="45"/>
      <c r="I33" s="45"/>
      <c r="J33" s="45"/>
      <c r="K33" s="45"/>
      <c r="L33" s="45"/>
      <c r="M33" s="45"/>
      <c r="N33" s="63"/>
      <c r="O33" s="45"/>
      <c r="Q33" s="45"/>
      <c r="R33" s="63"/>
      <c r="S33" s="63"/>
      <c r="T33" s="44"/>
      <c r="U33" s="37"/>
      <c r="V33" s="38"/>
      <c r="W33" s="38"/>
    </row>
    <row r="34" spans="1:37">
      <c r="A34" s="45"/>
      <c r="B34" s="46"/>
      <c r="C34" s="45"/>
      <c r="D34" s="45"/>
      <c r="E34" s="45"/>
      <c r="F34" s="45"/>
      <c r="G34" s="45"/>
      <c r="H34" s="45"/>
      <c r="I34" s="45"/>
      <c r="J34" s="45"/>
      <c r="K34" s="45"/>
      <c r="L34" s="45"/>
      <c r="M34" s="45"/>
      <c r="N34" s="63"/>
      <c r="O34" s="45"/>
      <c r="Q34" s="45"/>
      <c r="R34" s="63"/>
      <c r="S34" s="63"/>
      <c r="T34" s="44"/>
      <c r="U34" s="37"/>
      <c r="V34" s="38"/>
      <c r="W34" s="38"/>
    </row>
    <row r="35" spans="1:37">
      <c r="A35" s="45"/>
      <c r="B35" s="46"/>
      <c r="C35" s="45"/>
      <c r="D35" s="45"/>
      <c r="E35" s="45"/>
      <c r="F35" s="45"/>
      <c r="G35" s="45"/>
      <c r="H35" s="45"/>
      <c r="I35" s="45"/>
      <c r="J35" s="45"/>
      <c r="K35" s="45"/>
      <c r="L35" s="45"/>
      <c r="M35" s="45"/>
      <c r="N35" s="63"/>
      <c r="O35" s="45"/>
      <c r="Q35" s="45"/>
      <c r="R35" s="63"/>
      <c r="S35" s="63"/>
      <c r="T35" s="44"/>
      <c r="U35" s="37"/>
      <c r="V35" s="38"/>
      <c r="W35" s="38"/>
    </row>
    <row r="36" spans="1:37" ht="13.5" thickBot="1">
      <c r="A36" s="45"/>
      <c r="B36" s="46"/>
      <c r="C36" s="45" t="s">
        <v>26</v>
      </c>
      <c r="D36" s="45"/>
      <c r="E36" s="45"/>
      <c r="F36" s="45"/>
      <c r="G36" s="45"/>
      <c r="H36" s="45"/>
      <c r="I36" s="45"/>
      <c r="J36" s="45"/>
      <c r="K36" s="45"/>
      <c r="L36" s="45"/>
      <c r="M36" s="45"/>
      <c r="N36" s="70">
        <f>SUM(N22:N32)</f>
        <v>4.3381667607171224</v>
      </c>
      <c r="O36" s="45"/>
      <c r="Q36" s="45"/>
      <c r="R36" s="70">
        <f>SUM(R22:R32)</f>
        <v>3.0172667607171224</v>
      </c>
      <c r="S36" s="69"/>
      <c r="T36" s="44"/>
      <c r="U36" s="37"/>
      <c r="V36" s="59" t="str">
        <f>IF(A.1!$K$24&gt;0,"(I,",IF(A.1!$K$24&lt;0,"(R,","(-,"))</f>
        <v>(I,</v>
      </c>
      <c r="W36" s="59" t="str">
        <f>IF(A.1!$K$46&gt;0,"I)",IF(A.1!$K$46&lt;0,"R)","-)"))</f>
        <v>I)</v>
      </c>
    </row>
    <row r="37" spans="1:37" ht="13.5" thickTop="1">
      <c r="A37" s="45"/>
      <c r="B37" s="46"/>
      <c r="C37" s="45"/>
      <c r="D37" s="45"/>
      <c r="E37" s="45"/>
      <c r="F37" s="45"/>
      <c r="G37" s="45"/>
      <c r="H37" s="45"/>
      <c r="I37" s="45"/>
      <c r="J37" s="45"/>
      <c r="K37" s="45"/>
      <c r="L37" s="45"/>
      <c r="M37" s="45"/>
      <c r="N37" s="45"/>
      <c r="O37" s="45"/>
      <c r="P37" s="45"/>
      <c r="Q37" s="45"/>
      <c r="R37" s="45"/>
      <c r="S37" s="45"/>
      <c r="T37" s="44"/>
      <c r="U37" s="37"/>
      <c r="V37" s="38"/>
      <c r="W37" s="38"/>
      <c r="X37" s="38"/>
    </row>
    <row r="38" spans="1:37">
      <c r="A38" s="45"/>
      <c r="B38" s="46"/>
      <c r="C38" s="45"/>
      <c r="D38" s="45"/>
      <c r="E38" s="45"/>
      <c r="F38" s="45"/>
      <c r="G38" s="45"/>
      <c r="H38" s="45"/>
      <c r="I38" s="45"/>
      <c r="J38" s="45"/>
      <c r="K38" s="45"/>
      <c r="L38" s="45"/>
      <c r="M38" s="45"/>
      <c r="N38" s="63"/>
      <c r="O38" s="45"/>
      <c r="P38" s="63"/>
      <c r="Q38" s="45"/>
      <c r="R38" s="63"/>
      <c r="S38" s="63"/>
      <c r="T38" s="44"/>
      <c r="U38" s="37"/>
      <c r="V38" s="38"/>
      <c r="W38" s="38"/>
      <c r="X38" s="38"/>
    </row>
    <row r="39" spans="1:37">
      <c r="A39" s="45"/>
      <c r="B39" s="46"/>
      <c r="C39" s="45"/>
      <c r="D39" s="45"/>
      <c r="E39" s="45"/>
      <c r="F39" s="45"/>
      <c r="G39" s="45"/>
      <c r="H39" s="45"/>
      <c r="I39" s="45"/>
      <c r="J39" s="45"/>
      <c r="K39" s="45"/>
      <c r="L39" s="45"/>
      <c r="M39" s="45"/>
      <c r="N39" s="45"/>
      <c r="O39" s="45"/>
      <c r="P39" s="45"/>
      <c r="Q39" s="45"/>
      <c r="R39" s="45"/>
      <c r="S39" s="45"/>
      <c r="T39" s="44"/>
      <c r="U39" s="37"/>
      <c r="V39" s="38"/>
      <c r="W39" s="38"/>
      <c r="X39" s="38"/>
    </row>
    <row r="40" spans="1:37">
      <c r="A40" s="45"/>
      <c r="B40" s="43"/>
      <c r="C40" s="42"/>
      <c r="D40" s="42"/>
      <c r="E40" s="42"/>
      <c r="F40" s="42"/>
      <c r="G40" s="42"/>
      <c r="H40" s="42"/>
      <c r="I40" s="42"/>
      <c r="J40" s="42"/>
      <c r="K40" s="42"/>
      <c r="L40" s="42"/>
      <c r="M40" s="42"/>
      <c r="N40" s="42"/>
      <c r="O40" s="42"/>
      <c r="P40" s="42"/>
      <c r="Q40" s="42"/>
      <c r="R40" s="42"/>
      <c r="S40" s="42"/>
      <c r="T40" s="41"/>
      <c r="U40" s="37"/>
      <c r="V40" s="38"/>
      <c r="W40" s="38"/>
      <c r="X40" s="38"/>
    </row>
    <row r="41" spans="1:37" ht="9" customHeight="1" thickBot="1">
      <c r="A41" s="45"/>
      <c r="B41" s="682"/>
      <c r="C41" s="682"/>
      <c r="D41" s="682"/>
      <c r="E41" s="682"/>
      <c r="F41" s="682"/>
      <c r="G41" s="682"/>
      <c r="H41" s="682"/>
      <c r="I41" s="682"/>
      <c r="J41" s="682"/>
      <c r="K41" s="682"/>
      <c r="L41" s="682"/>
      <c r="M41" s="682"/>
      <c r="N41" s="682"/>
      <c r="O41" s="682"/>
      <c r="P41" s="682"/>
      <c r="Q41" s="682"/>
      <c r="R41" s="682"/>
      <c r="S41" s="682"/>
      <c r="T41" s="682"/>
      <c r="U41" s="680"/>
      <c r="V41" s="683"/>
      <c r="W41" s="668"/>
      <c r="X41" s="37"/>
      <c r="Y41" s="37"/>
      <c r="Z41" s="37"/>
      <c r="AA41" s="37"/>
      <c r="AB41" s="37"/>
      <c r="AC41" s="37"/>
      <c r="AD41" s="37"/>
      <c r="AE41" s="37"/>
      <c r="AF41" s="37"/>
      <c r="AG41" s="37"/>
      <c r="AH41" s="37"/>
      <c r="AI41" s="37"/>
      <c r="AJ41" s="37"/>
      <c r="AK41" s="37"/>
    </row>
    <row r="42" spans="1:37" ht="9" customHeight="1">
      <c r="A42" s="45"/>
      <c r="B42" s="45"/>
      <c r="C42" s="45"/>
      <c r="D42" s="45"/>
      <c r="E42" s="45"/>
      <c r="F42" s="45"/>
      <c r="G42" s="45"/>
      <c r="H42" s="45"/>
      <c r="I42" s="45"/>
      <c r="J42" s="45"/>
      <c r="K42" s="45"/>
      <c r="L42" s="45"/>
      <c r="M42" s="45"/>
      <c r="N42" s="45"/>
      <c r="O42" s="45"/>
      <c r="P42" s="45"/>
      <c r="Q42" s="45"/>
      <c r="R42" s="45"/>
      <c r="S42" s="45"/>
      <c r="T42" s="45"/>
      <c r="U42" s="45"/>
      <c r="V42" s="668"/>
      <c r="W42" s="668"/>
      <c r="X42" s="37"/>
      <c r="Y42" s="37"/>
      <c r="Z42" s="37"/>
      <c r="AA42" s="37"/>
      <c r="AB42" s="37"/>
      <c r="AC42" s="37"/>
      <c r="AD42" s="37"/>
      <c r="AE42" s="37"/>
      <c r="AF42" s="37"/>
      <c r="AG42" s="37"/>
      <c r="AH42" s="37"/>
      <c r="AI42" s="37"/>
      <c r="AJ42" s="37"/>
      <c r="AK42" s="37"/>
    </row>
    <row r="43" spans="1:37" s="661" customFormat="1" ht="24" customHeight="1">
      <c r="A43" s="660"/>
      <c r="B43" s="684" t="s">
        <v>791</v>
      </c>
      <c r="C43" s="684"/>
      <c r="D43" s="684"/>
      <c r="E43" s="684"/>
      <c r="F43" s="700"/>
      <c r="G43" s="1100">
        <f>Control!B5</f>
        <v>42277</v>
      </c>
      <c r="H43" s="1100"/>
      <c r="I43" s="1100"/>
      <c r="J43" s="1100"/>
      <c r="K43" s="1100"/>
      <c r="L43" s="1100"/>
      <c r="M43" s="1100"/>
      <c r="N43" s="1100"/>
      <c r="O43" s="660"/>
      <c r="P43" s="660"/>
      <c r="Q43" s="660"/>
      <c r="R43" s="660"/>
      <c r="S43" s="660"/>
      <c r="T43" s="660"/>
      <c r="U43" s="660"/>
      <c r="V43" s="669"/>
      <c r="W43" s="669"/>
      <c r="X43" s="659"/>
      <c r="Y43" s="659"/>
      <c r="Z43" s="659"/>
      <c r="AA43" s="659"/>
      <c r="AB43" s="659"/>
      <c r="AC43" s="659"/>
      <c r="AD43" s="659"/>
      <c r="AE43" s="659"/>
      <c r="AF43" s="659"/>
      <c r="AG43" s="659"/>
      <c r="AH43" s="659"/>
      <c r="AI43" s="659"/>
      <c r="AJ43" s="659"/>
      <c r="AK43" s="659"/>
    </row>
    <row r="44" spans="1:37" s="657" customFormat="1">
      <c r="A44" s="658"/>
      <c r="B44" s="658"/>
      <c r="C44" s="685"/>
      <c r="D44" s="685"/>
      <c r="E44" s="685"/>
      <c r="G44" s="1112" t="s">
        <v>792</v>
      </c>
      <c r="H44" s="1112"/>
      <c r="I44" s="1112"/>
      <c r="J44" s="1112"/>
      <c r="K44" s="1112"/>
      <c r="L44" s="1112"/>
      <c r="M44" s="1112"/>
      <c r="S44" s="658"/>
      <c r="T44" s="658"/>
      <c r="U44" s="658"/>
      <c r="V44" s="670"/>
      <c r="W44" s="670"/>
      <c r="X44" s="656"/>
      <c r="Y44" s="656"/>
      <c r="Z44" s="656"/>
      <c r="AA44" s="656"/>
      <c r="AB44" s="656"/>
      <c r="AC44" s="656"/>
      <c r="AD44" s="656"/>
      <c r="AE44" s="656"/>
      <c r="AF44" s="656"/>
      <c r="AG44" s="656"/>
      <c r="AH44" s="656"/>
      <c r="AI44" s="656"/>
      <c r="AJ44" s="656"/>
      <c r="AK44" s="656"/>
    </row>
    <row r="45" spans="1:37" s="661" customFormat="1" ht="16.5" customHeight="1">
      <c r="A45" s="660"/>
      <c r="B45" s="684" t="s">
        <v>793</v>
      </c>
      <c r="C45" s="684"/>
      <c r="D45" s="684"/>
      <c r="E45" s="684"/>
      <c r="F45" s="687"/>
      <c r="G45" s="1116">
        <f>Control!B4</f>
        <v>42309</v>
      </c>
      <c r="H45" s="1116"/>
      <c r="I45" s="1116"/>
      <c r="J45" s="1116"/>
      <c r="K45" s="1116"/>
      <c r="L45" s="1116"/>
      <c r="M45" s="1116"/>
      <c r="N45" s="1116"/>
      <c r="S45" s="663"/>
      <c r="T45" s="663"/>
      <c r="U45" s="660"/>
      <c r="V45" s="669"/>
      <c r="W45" s="669"/>
      <c r="X45" s="659"/>
      <c r="Y45" s="659"/>
      <c r="Z45" s="659"/>
      <c r="AA45" s="659"/>
      <c r="AB45" s="659"/>
      <c r="AC45" s="659"/>
      <c r="AD45" s="659"/>
      <c r="AE45" s="659"/>
      <c r="AF45" s="659"/>
      <c r="AG45" s="659"/>
      <c r="AH45" s="659"/>
      <c r="AI45" s="659"/>
      <c r="AJ45" s="659"/>
      <c r="AK45" s="659"/>
    </row>
    <row r="46" spans="1:37" s="657" customFormat="1">
      <c r="A46" s="658"/>
      <c r="B46" s="658"/>
      <c r="C46" s="685"/>
      <c r="D46" s="685"/>
      <c r="E46" s="685"/>
      <c r="G46" s="1112" t="s">
        <v>792</v>
      </c>
      <c r="H46" s="1112"/>
      <c r="I46" s="1112"/>
      <c r="J46" s="1112"/>
      <c r="K46" s="1112"/>
      <c r="L46" s="1112"/>
      <c r="M46" s="1112"/>
      <c r="N46" s="1112"/>
      <c r="S46" s="658"/>
      <c r="T46" s="658"/>
      <c r="U46" s="658"/>
      <c r="V46" s="670"/>
      <c r="W46" s="670"/>
      <c r="X46" s="656"/>
      <c r="Y46" s="656"/>
      <c r="Z46" s="656"/>
      <c r="AA46" s="656"/>
      <c r="AB46" s="656"/>
      <c r="AC46" s="656"/>
      <c r="AD46" s="656"/>
      <c r="AE46" s="656"/>
      <c r="AF46" s="656"/>
      <c r="AG46" s="656"/>
      <c r="AH46" s="656"/>
      <c r="AI46" s="656"/>
      <c r="AJ46" s="656"/>
      <c r="AK46" s="656"/>
    </row>
    <row r="47" spans="1:37" s="661" customFormat="1" ht="16.5" customHeight="1">
      <c r="A47" s="660"/>
      <c r="B47" s="684" t="s">
        <v>794</v>
      </c>
      <c r="C47" s="684"/>
      <c r="D47" s="684"/>
      <c r="E47" s="1104" t="s">
        <v>795</v>
      </c>
      <c r="F47" s="1104"/>
      <c r="G47" s="1104"/>
      <c r="H47" s="1104"/>
      <c r="I47" s="1104"/>
      <c r="J47" s="1104"/>
      <c r="K47" s="1104"/>
      <c r="L47" s="1104"/>
      <c r="M47" s="1104"/>
      <c r="N47" s="1104"/>
      <c r="S47" s="660"/>
      <c r="T47" s="660"/>
      <c r="U47" s="660"/>
      <c r="V47" s="671"/>
      <c r="W47" s="669"/>
      <c r="X47" s="659"/>
      <c r="Y47" s="659"/>
      <c r="Z47" s="659"/>
      <c r="AA47" s="659"/>
      <c r="AB47" s="659"/>
      <c r="AC47" s="659"/>
      <c r="AD47" s="659"/>
      <c r="AE47" s="659"/>
      <c r="AF47" s="659"/>
      <c r="AG47" s="659"/>
      <c r="AH47" s="659"/>
      <c r="AI47" s="659"/>
      <c r="AJ47" s="659"/>
      <c r="AK47" s="659"/>
    </row>
    <row r="48" spans="1:37" s="657" customFormat="1" ht="15" customHeight="1">
      <c r="A48" s="658"/>
      <c r="B48" s="658"/>
      <c r="C48" s="658"/>
      <c r="D48" s="658"/>
      <c r="E48" s="1112" t="s">
        <v>796</v>
      </c>
      <c r="F48" s="1112"/>
      <c r="G48" s="1112"/>
      <c r="H48" s="1112"/>
      <c r="I48" s="1112"/>
      <c r="J48" s="1112"/>
      <c r="K48" s="1112"/>
      <c r="L48" s="1112"/>
      <c r="M48" s="1112"/>
      <c r="N48" s="1112"/>
      <c r="O48" s="658"/>
      <c r="P48" s="658"/>
      <c r="Q48" s="658"/>
      <c r="R48" s="658"/>
      <c r="S48" s="658"/>
      <c r="T48" s="658"/>
      <c r="U48" s="658"/>
      <c r="V48" s="670"/>
      <c r="W48" s="670"/>
      <c r="X48" s="656"/>
      <c r="Y48" s="656"/>
      <c r="Z48" s="656"/>
      <c r="AA48" s="656"/>
      <c r="AB48" s="656"/>
      <c r="AC48" s="656"/>
      <c r="AD48" s="656"/>
      <c r="AE48" s="656"/>
      <c r="AF48" s="656"/>
      <c r="AG48" s="656"/>
      <c r="AH48" s="656"/>
      <c r="AI48" s="656"/>
      <c r="AJ48" s="656"/>
      <c r="AK48" s="656"/>
    </row>
    <row r="49" spans="1:37" s="661" customFormat="1" ht="16.5" customHeight="1">
      <c r="A49" s="660"/>
      <c r="B49" s="684" t="s">
        <v>797</v>
      </c>
      <c r="C49" s="684"/>
      <c r="D49" s="666" t="s">
        <v>798</v>
      </c>
      <c r="E49" s="667"/>
      <c r="F49" s="667"/>
      <c r="G49" s="667"/>
      <c r="H49" s="667"/>
      <c r="I49" s="667"/>
      <c r="J49" s="667"/>
      <c r="K49" s="667"/>
      <c r="L49" s="667"/>
      <c r="M49" s="667"/>
      <c r="N49" s="701"/>
      <c r="O49" s="660"/>
      <c r="P49" s="660"/>
      <c r="Q49" s="660"/>
      <c r="R49" s="660"/>
      <c r="S49" s="660"/>
      <c r="T49" s="660"/>
      <c r="U49" s="660"/>
      <c r="V49" s="669"/>
      <c r="W49" s="669"/>
      <c r="X49" s="659"/>
      <c r="Y49" s="659"/>
      <c r="Z49" s="659"/>
      <c r="AA49" s="659"/>
      <c r="AB49" s="659"/>
      <c r="AC49" s="659"/>
      <c r="AD49" s="659"/>
      <c r="AE49" s="659"/>
      <c r="AF49" s="659"/>
      <c r="AG49" s="659"/>
      <c r="AH49" s="659"/>
      <c r="AI49" s="659"/>
      <c r="AJ49" s="659"/>
      <c r="AK49" s="659"/>
    </row>
    <row r="50" spans="1:37" ht="6" customHeight="1">
      <c r="A50" s="45"/>
      <c r="B50" s="61"/>
      <c r="C50" s="61"/>
      <c r="D50" s="61"/>
      <c r="E50" s="61"/>
      <c r="F50" s="61"/>
      <c r="G50" s="61"/>
      <c r="H50" s="61"/>
      <c r="I50" s="61"/>
      <c r="J50" s="61"/>
      <c r="K50" s="61"/>
      <c r="L50" s="61"/>
      <c r="M50" s="61"/>
      <c r="U50" s="37"/>
      <c r="V50" s="38"/>
      <c r="W50" s="38"/>
      <c r="X50" s="37"/>
      <c r="Y50" s="37"/>
      <c r="Z50" s="37"/>
      <c r="AA50" s="37"/>
      <c r="AB50" s="37"/>
      <c r="AC50" s="37"/>
      <c r="AD50" s="37"/>
      <c r="AE50" s="37"/>
      <c r="AF50" s="37"/>
      <c r="AG50" s="37"/>
      <c r="AH50" s="37"/>
      <c r="AI50" s="37"/>
      <c r="AJ50" s="37"/>
      <c r="AK50" s="37"/>
    </row>
    <row r="51" spans="1:37" s="661" customFormat="1" ht="17.25" customHeight="1">
      <c r="A51" s="660"/>
      <c r="B51" s="684" t="s">
        <v>800</v>
      </c>
      <c r="C51" s="684"/>
      <c r="D51" s="684"/>
      <c r="E51" s="684"/>
      <c r="F51" s="684"/>
      <c r="G51" s="684"/>
      <c r="H51" s="684"/>
      <c r="I51" s="684"/>
      <c r="J51" s="684"/>
      <c r="K51" s="684"/>
      <c r="L51" s="684"/>
      <c r="M51" s="684"/>
      <c r="N51" s="659"/>
      <c r="O51" s="659"/>
      <c r="P51" s="659"/>
      <c r="Q51" s="659"/>
      <c r="R51" s="659"/>
      <c r="S51" s="659"/>
      <c r="T51" s="659"/>
      <c r="U51" s="659"/>
      <c r="V51" s="662"/>
      <c r="W51" s="662"/>
      <c r="X51" s="659"/>
      <c r="Y51" s="659"/>
      <c r="Z51" s="659"/>
      <c r="AA51" s="659"/>
      <c r="AB51" s="659"/>
      <c r="AC51" s="659"/>
      <c r="AD51" s="659"/>
      <c r="AE51" s="659"/>
      <c r="AF51" s="659"/>
      <c r="AG51" s="659"/>
      <c r="AH51" s="659"/>
      <c r="AI51" s="659"/>
      <c r="AJ51" s="659"/>
      <c r="AK51" s="659"/>
    </row>
    <row r="52" spans="1:37" s="661" customFormat="1" ht="13.5" customHeight="1">
      <c r="A52" s="660"/>
      <c r="B52" s="684" t="s">
        <v>801</v>
      </c>
      <c r="C52" s="684"/>
      <c r="E52" s="687"/>
      <c r="F52" s="1114" t="str">
        <f>Control!B8</f>
        <v>2015-00000</v>
      </c>
      <c r="G52" s="1114"/>
      <c r="H52" s="1114"/>
      <c r="I52" s="686" t="s">
        <v>802</v>
      </c>
      <c r="K52" s="1115" t="str">
        <f>IF(Control!B6=0,"",Control!B6)</f>
        <v>N/A</v>
      </c>
      <c r="L52" s="1115"/>
      <c r="M52" s="1115"/>
      <c r="N52" s="1115"/>
      <c r="O52" s="664"/>
      <c r="Q52" s="665"/>
      <c r="U52" s="659"/>
      <c r="V52" s="662"/>
      <c r="W52" s="662"/>
      <c r="X52" s="659"/>
      <c r="Y52" s="659"/>
      <c r="Z52" s="659"/>
      <c r="AA52" s="659"/>
      <c r="AB52" s="659"/>
      <c r="AC52" s="659"/>
      <c r="AD52" s="659"/>
      <c r="AE52" s="659"/>
      <c r="AF52" s="659"/>
      <c r="AG52" s="659"/>
      <c r="AH52" s="659"/>
      <c r="AI52" s="659"/>
      <c r="AJ52" s="659"/>
      <c r="AK52" s="659"/>
    </row>
    <row r="54" spans="1:37">
      <c r="B54" s="964"/>
      <c r="C54" s="964"/>
      <c r="D54" s="964"/>
      <c r="E54" s="964"/>
      <c r="F54" s="964"/>
      <c r="G54" s="964"/>
      <c r="H54" s="964"/>
      <c r="I54" s="964"/>
      <c r="J54" s="964"/>
      <c r="K54" s="964"/>
      <c r="L54" s="964"/>
      <c r="M54" s="964"/>
    </row>
    <row r="55" spans="1:37">
      <c r="B55" s="964"/>
      <c r="C55" s="964"/>
      <c r="D55" s="964"/>
      <c r="E55" s="964"/>
      <c r="F55" s="964"/>
      <c r="G55" s="964"/>
      <c r="H55" s="964"/>
      <c r="I55" s="964"/>
      <c r="J55" s="964"/>
      <c r="K55" s="964"/>
      <c r="L55" s="964"/>
      <c r="M55" s="964"/>
    </row>
  </sheetData>
  <mergeCells count="12">
    <mergeCell ref="B4:L4"/>
    <mergeCell ref="B5:K5"/>
    <mergeCell ref="G43:N43"/>
    <mergeCell ref="F52:H52"/>
    <mergeCell ref="K52:N52"/>
    <mergeCell ref="G44:M44"/>
    <mergeCell ref="G45:N45"/>
    <mergeCell ref="G46:N46"/>
    <mergeCell ref="E47:N47"/>
    <mergeCell ref="E48:N48"/>
    <mergeCell ref="B8:T8"/>
    <mergeCell ref="B9:T9"/>
  </mergeCells>
  <pageMargins left="0.54" right="0.18" top="0.46" bottom="0.4" header="0.28000000000000003" footer="0.18"/>
  <pageSetup orientation="portrait" r:id="rId1"/>
  <headerFooter alignWithMargins="0"/>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S54"/>
  <sheetViews>
    <sheetView showGridLines="0" zoomScale="80" zoomScaleNormal="80" zoomScalePageLayoutView="85" workbookViewId="0">
      <selection activeCell="E33" sqref="E33"/>
    </sheetView>
  </sheetViews>
  <sheetFormatPr defaultColWidth="2.85546875" defaultRowHeight="12.75"/>
  <cols>
    <col min="1" max="1" width="0.85546875" style="1" customWidth="1"/>
    <col min="2" max="3" width="2.85546875" style="1"/>
    <col min="4" max="4" width="1.85546875" style="1" customWidth="1"/>
    <col min="5" max="7" width="2.85546875" style="1"/>
    <col min="8" max="8" width="8.5703125" style="1" customWidth="1"/>
    <col min="9" max="9" width="4.140625" style="1" customWidth="1"/>
    <col min="10" max="10" width="2.85546875" style="1"/>
    <col min="11" max="11" width="4.85546875" style="1" customWidth="1"/>
    <col min="12" max="13" width="2.85546875" style="1"/>
    <col min="14" max="14" width="8.5703125" style="1" customWidth="1"/>
    <col min="15" max="15" width="3.5703125" style="1" customWidth="1"/>
    <col min="16" max="16" width="11.28515625" style="1" customWidth="1"/>
    <col min="17" max="17" width="2.85546875" style="1" customWidth="1"/>
    <col min="18" max="18" width="10.7109375" style="1" customWidth="1"/>
    <col min="19" max="22" width="2.85546875" style="1"/>
    <col min="23" max="23" width="1" style="1" customWidth="1"/>
    <col min="24" max="24" width="0" style="1" hidden="1" customWidth="1"/>
    <col min="25" max="25" width="3.140625" style="74" bestFit="1" customWidth="1"/>
    <col min="26" max="16384" width="2.85546875" style="1"/>
  </cols>
  <sheetData>
    <row r="1" spans="1:45" ht="19.5" customHeight="1">
      <c r="A1" s="37"/>
      <c r="B1" s="37"/>
      <c r="C1" s="37"/>
      <c r="D1" s="37"/>
      <c r="E1" s="37"/>
      <c r="F1" s="37"/>
      <c r="G1" s="37"/>
      <c r="H1" s="37"/>
      <c r="I1" s="37"/>
      <c r="J1" s="37"/>
      <c r="K1" s="37"/>
      <c r="L1" s="37"/>
      <c r="M1" s="37"/>
      <c r="N1" s="37"/>
      <c r="O1" s="37"/>
      <c r="P1" s="688" t="s">
        <v>847</v>
      </c>
      <c r="Q1" s="689"/>
      <c r="R1" s="689"/>
      <c r="S1" s="689"/>
      <c r="T1" s="690"/>
      <c r="U1" s="690"/>
      <c r="V1" s="691"/>
      <c r="W1" s="38"/>
      <c r="X1" s="37"/>
      <c r="Y1" s="37"/>
      <c r="Z1" s="37"/>
      <c r="AA1" s="37"/>
      <c r="AB1" s="37"/>
      <c r="AC1" s="37"/>
      <c r="AD1" s="37"/>
      <c r="AE1" s="37"/>
      <c r="AF1" s="37"/>
      <c r="AG1" s="37"/>
      <c r="AH1" s="37"/>
      <c r="AI1" s="37"/>
      <c r="AJ1" s="37"/>
      <c r="AK1" s="37"/>
    </row>
    <row r="2" spans="1:45" ht="19.5" customHeight="1">
      <c r="A2" s="37"/>
      <c r="B2" s="37"/>
      <c r="C2" s="37"/>
      <c r="D2" s="37"/>
      <c r="E2" s="37"/>
      <c r="F2" s="37"/>
      <c r="G2" s="37"/>
      <c r="H2" s="37"/>
      <c r="I2" s="37"/>
      <c r="J2" s="37"/>
      <c r="K2" s="37"/>
      <c r="L2" s="37"/>
      <c r="M2" s="37"/>
      <c r="N2" s="37"/>
      <c r="O2" s="37"/>
      <c r="Q2" s="984" t="s">
        <v>1032</v>
      </c>
      <c r="R2" s="689"/>
      <c r="S2" s="689"/>
      <c r="T2" s="690"/>
      <c r="U2" s="690"/>
      <c r="V2" s="691"/>
      <c r="W2" s="38"/>
      <c r="X2" s="37"/>
      <c r="Y2" s="68"/>
      <c r="Z2" s="37"/>
      <c r="AA2" s="37"/>
      <c r="AB2" s="37"/>
      <c r="AC2" s="37"/>
      <c r="AD2" s="37"/>
      <c r="AE2" s="37"/>
      <c r="AF2" s="37"/>
      <c r="AG2" s="37"/>
      <c r="AH2" s="37"/>
      <c r="AI2" s="37"/>
      <c r="AJ2" s="37"/>
      <c r="AK2" s="37"/>
    </row>
    <row r="3" spans="1:45" ht="19.5" customHeight="1">
      <c r="A3" s="37"/>
      <c r="B3" s="37"/>
      <c r="C3" s="67"/>
      <c r="D3" s="37"/>
      <c r="E3" s="37"/>
      <c r="F3" s="37"/>
      <c r="G3" s="37"/>
      <c r="H3" s="37"/>
      <c r="I3" s="37"/>
      <c r="J3" s="37"/>
      <c r="K3" s="37"/>
      <c r="L3" s="37"/>
      <c r="M3" s="37"/>
      <c r="N3" s="37"/>
      <c r="O3" s="37"/>
      <c r="Q3" s="986" t="str">
        <f>CONCATENATE(Control!B9," REVISED SHEET NO. 6")</f>
        <v>EIGHTH REVISED SHEET NO. 6</v>
      </c>
      <c r="R3" s="692"/>
      <c r="S3" s="692"/>
      <c r="T3" s="690"/>
      <c r="U3" s="690"/>
      <c r="V3" s="691"/>
      <c r="W3" s="38"/>
      <c r="X3" s="37"/>
      <c r="Y3" s="37"/>
      <c r="Z3" s="37"/>
      <c r="AA3" s="37"/>
      <c r="AB3" s="37"/>
      <c r="AC3" s="37"/>
      <c r="AD3" s="37"/>
      <c r="AE3" s="37"/>
      <c r="AF3" s="37"/>
      <c r="AG3" s="37"/>
      <c r="AH3" s="37"/>
      <c r="AI3" s="37"/>
      <c r="AJ3" s="37"/>
      <c r="AK3" s="37"/>
    </row>
    <row r="4" spans="1:45" ht="19.5" customHeight="1">
      <c r="A4" s="37"/>
      <c r="B4" s="1102" t="s">
        <v>78</v>
      </c>
      <c r="C4" s="1102"/>
      <c r="D4" s="1102"/>
      <c r="E4" s="1102"/>
      <c r="F4" s="1102"/>
      <c r="G4" s="1102"/>
      <c r="H4" s="1102"/>
      <c r="I4" s="1102"/>
      <c r="J4" s="1102"/>
      <c r="K4" s="1102"/>
      <c r="L4" s="1102"/>
      <c r="M4" s="37"/>
      <c r="N4" s="37"/>
      <c r="O4" s="37"/>
      <c r="Q4" s="986" t="s">
        <v>848</v>
      </c>
      <c r="R4" s="692"/>
      <c r="S4" s="692"/>
      <c r="T4" s="690"/>
      <c r="U4" s="690"/>
      <c r="V4" s="691"/>
      <c r="W4" s="38"/>
      <c r="X4" s="37"/>
      <c r="Y4" s="37"/>
      <c r="Z4" s="37"/>
      <c r="AA4" s="37"/>
      <c r="AB4" s="37"/>
      <c r="AC4" s="37"/>
      <c r="AD4" s="37"/>
      <c r="AE4" s="37"/>
      <c r="AF4" s="37"/>
      <c r="AG4" s="37"/>
      <c r="AH4" s="37"/>
      <c r="AI4" s="37"/>
      <c r="AJ4" s="37"/>
      <c r="AK4" s="37"/>
    </row>
    <row r="5" spans="1:45" ht="19.5" customHeight="1">
      <c r="A5" s="37"/>
      <c r="B5" s="1113" t="s">
        <v>846</v>
      </c>
      <c r="C5" s="1113"/>
      <c r="D5" s="1113"/>
      <c r="E5" s="1113"/>
      <c r="F5" s="1113"/>
      <c r="G5" s="1113"/>
      <c r="H5" s="1113"/>
      <c r="I5" s="1113"/>
      <c r="J5" s="1113"/>
      <c r="K5" s="1113"/>
      <c r="L5" s="45"/>
      <c r="M5" s="45"/>
      <c r="N5" s="45"/>
      <c r="O5" s="45"/>
      <c r="Q5" s="987" t="str">
        <f>CONCATENATE(Control!C9," REVISED SHEET NO. 6")</f>
        <v>SEVENTH REVISED SHEET NO. 6</v>
      </c>
      <c r="R5" s="693"/>
      <c r="S5" s="693"/>
      <c r="T5" s="694"/>
      <c r="U5" s="690"/>
      <c r="V5" s="691"/>
      <c r="W5" s="38"/>
      <c r="X5" s="37"/>
      <c r="Y5" s="37"/>
      <c r="Z5" s="37"/>
      <c r="AA5" s="37"/>
      <c r="AB5" s="37"/>
      <c r="AC5" s="37"/>
      <c r="AD5" s="37"/>
      <c r="AE5" s="37"/>
      <c r="AF5" s="37"/>
      <c r="AG5" s="37"/>
      <c r="AH5" s="37"/>
      <c r="AI5" s="37"/>
      <c r="AJ5" s="37"/>
      <c r="AK5" s="37"/>
    </row>
    <row r="6" spans="1:45" ht="6" customHeight="1" thickBot="1">
      <c r="A6" s="37"/>
      <c r="B6" s="681"/>
      <c r="C6" s="681"/>
      <c r="D6" s="681"/>
      <c r="E6" s="681"/>
      <c r="F6" s="681"/>
      <c r="G6" s="681"/>
      <c r="H6" s="681"/>
      <c r="I6" s="681"/>
      <c r="J6" s="680"/>
      <c r="K6" s="680"/>
      <c r="L6" s="680"/>
      <c r="M6" s="680"/>
      <c r="N6" s="680"/>
      <c r="O6" s="680"/>
      <c r="P6" s="695"/>
      <c r="Q6" s="696"/>
      <c r="R6" s="696"/>
      <c r="S6" s="696"/>
      <c r="T6" s="697"/>
      <c r="U6" s="697"/>
      <c r="V6" s="698"/>
      <c r="W6" s="38"/>
      <c r="X6" s="37"/>
      <c r="Y6" s="37"/>
      <c r="Z6" s="37"/>
      <c r="AA6" s="37"/>
      <c r="AB6" s="37"/>
      <c r="AC6" s="37"/>
      <c r="AD6" s="37"/>
      <c r="AE6" s="37"/>
      <c r="AF6" s="37"/>
      <c r="AG6" s="37"/>
      <c r="AH6" s="37"/>
      <c r="AI6" s="37"/>
      <c r="AJ6" s="37"/>
      <c r="AK6" s="37"/>
    </row>
    <row r="7" spans="1:45" ht="9" customHeight="1">
      <c r="A7" s="37"/>
      <c r="C7" s="37"/>
      <c r="D7" s="37"/>
      <c r="E7" s="37"/>
      <c r="F7" s="37"/>
      <c r="G7" s="37"/>
      <c r="H7" s="37"/>
      <c r="I7" s="37"/>
      <c r="J7" s="37"/>
      <c r="K7" s="37"/>
      <c r="L7" s="37"/>
      <c r="M7" s="37"/>
      <c r="N7" s="37"/>
      <c r="O7" s="37"/>
      <c r="P7" s="37"/>
      <c r="Q7" s="37"/>
      <c r="R7" s="37"/>
      <c r="S7" s="37"/>
      <c r="T7" s="37"/>
      <c r="U7" s="37"/>
      <c r="V7" s="38"/>
      <c r="W7" s="38"/>
      <c r="X7" s="37"/>
      <c r="Y7" s="37"/>
      <c r="Z7" s="37"/>
      <c r="AA7" s="37"/>
      <c r="AB7" s="37"/>
      <c r="AC7" s="37"/>
      <c r="AD7" s="37"/>
      <c r="AE7" s="37"/>
      <c r="AF7" s="37"/>
      <c r="AG7" s="37"/>
      <c r="AH7" s="37"/>
      <c r="AI7" s="37"/>
      <c r="AJ7" s="37"/>
      <c r="AK7" s="37"/>
    </row>
    <row r="8" spans="1:45" ht="15.75">
      <c r="A8" s="37"/>
      <c r="B8" s="1123" t="s">
        <v>102</v>
      </c>
      <c r="C8" s="1124"/>
      <c r="D8" s="1124"/>
      <c r="E8" s="1124"/>
      <c r="F8" s="1124"/>
      <c r="G8" s="1124"/>
      <c r="H8" s="1124"/>
      <c r="I8" s="1124"/>
      <c r="J8" s="1124"/>
      <c r="K8" s="1124"/>
      <c r="L8" s="1124"/>
      <c r="M8" s="1124"/>
      <c r="N8" s="1124"/>
      <c r="O8" s="1124"/>
      <c r="P8" s="1124"/>
      <c r="Q8" s="1124"/>
      <c r="R8" s="1124"/>
      <c r="S8" s="1124"/>
      <c r="T8" s="1124"/>
      <c r="U8" s="1124"/>
      <c r="V8" s="1125"/>
      <c r="W8" s="37"/>
      <c r="X8" s="37"/>
      <c r="Y8" s="75"/>
      <c r="Z8" s="37"/>
      <c r="AA8" s="37"/>
      <c r="AB8" s="37"/>
      <c r="AC8" s="37"/>
      <c r="AD8" s="37"/>
      <c r="AE8" s="37"/>
      <c r="AF8" s="37"/>
      <c r="AG8" s="37"/>
      <c r="AH8" s="37"/>
      <c r="AI8" s="37"/>
      <c r="AJ8" s="37"/>
      <c r="AK8" s="37"/>
      <c r="AL8" s="37"/>
      <c r="AM8" s="37"/>
      <c r="AN8" s="37"/>
      <c r="AO8" s="37"/>
      <c r="AP8" s="37"/>
      <c r="AQ8" s="37"/>
      <c r="AR8" s="37"/>
      <c r="AS8" s="37"/>
    </row>
    <row r="9" spans="1:45" ht="15" customHeight="1">
      <c r="A9" s="37"/>
      <c r="B9" s="1120" t="str">
        <f>T.4!B9</f>
        <v>Case No. 2015-00000</v>
      </c>
      <c r="C9" s="1121"/>
      <c r="D9" s="1121"/>
      <c r="E9" s="1121"/>
      <c r="F9" s="1121"/>
      <c r="G9" s="1121"/>
      <c r="H9" s="1121"/>
      <c r="I9" s="1121"/>
      <c r="J9" s="1121"/>
      <c r="K9" s="1121"/>
      <c r="L9" s="1121"/>
      <c r="M9" s="1121"/>
      <c r="N9" s="1121"/>
      <c r="O9" s="1121"/>
      <c r="P9" s="1121"/>
      <c r="Q9" s="1121"/>
      <c r="R9" s="1121"/>
      <c r="S9" s="1121"/>
      <c r="T9" s="1121"/>
      <c r="U9" s="1121"/>
      <c r="V9" s="1122"/>
      <c r="W9" s="37"/>
      <c r="X9" s="37"/>
      <c r="Y9" s="75"/>
      <c r="Z9" s="37"/>
      <c r="AA9" s="37"/>
      <c r="AB9" s="37"/>
      <c r="AC9" s="37"/>
      <c r="AD9" s="37"/>
      <c r="AE9" s="37"/>
      <c r="AF9" s="37"/>
      <c r="AG9" s="37"/>
      <c r="AH9" s="37"/>
      <c r="AI9" s="37"/>
      <c r="AJ9" s="37"/>
      <c r="AK9" s="37"/>
      <c r="AL9" s="37"/>
      <c r="AM9" s="37"/>
      <c r="AN9" s="37"/>
      <c r="AO9" s="37"/>
      <c r="AP9" s="37"/>
      <c r="AQ9" s="37"/>
      <c r="AR9" s="37"/>
      <c r="AS9" s="37"/>
    </row>
    <row r="10" spans="1:45">
      <c r="A10" s="37"/>
      <c r="B10" s="89"/>
      <c r="C10" s="88"/>
      <c r="D10" s="88"/>
      <c r="E10" s="88"/>
      <c r="F10" s="88"/>
      <c r="G10" s="88"/>
      <c r="H10" s="66"/>
      <c r="I10" s="66"/>
      <c r="J10" s="66"/>
      <c r="K10" s="66"/>
      <c r="L10" s="66"/>
      <c r="M10" s="66"/>
      <c r="N10" s="66"/>
      <c r="O10" s="66"/>
      <c r="P10" s="66"/>
      <c r="Q10" s="66"/>
      <c r="R10" s="66"/>
      <c r="S10" s="66"/>
      <c r="T10" s="66"/>
      <c r="U10" s="66"/>
      <c r="V10" s="65"/>
      <c r="W10" s="37"/>
      <c r="X10" s="37"/>
      <c r="Y10" s="75"/>
      <c r="Z10" s="37"/>
      <c r="AA10" s="37"/>
      <c r="AB10" s="37"/>
      <c r="AC10" s="37"/>
      <c r="AD10" s="37"/>
      <c r="AE10" s="37"/>
      <c r="AF10" s="37"/>
      <c r="AG10" s="37"/>
      <c r="AH10" s="37"/>
      <c r="AI10" s="37"/>
      <c r="AJ10" s="37"/>
      <c r="AK10" s="37"/>
      <c r="AL10" s="37"/>
      <c r="AM10" s="37"/>
      <c r="AN10" s="37"/>
      <c r="AO10" s="37"/>
      <c r="AP10" s="37"/>
      <c r="AQ10" s="37"/>
      <c r="AR10" s="37"/>
      <c r="AS10" s="37"/>
    </row>
    <row r="11" spans="1:45">
      <c r="A11" s="37"/>
      <c r="B11" s="87"/>
      <c r="C11" s="86" t="s">
        <v>101</v>
      </c>
      <c r="D11" s="86"/>
      <c r="E11" s="86"/>
      <c r="F11" s="86"/>
      <c r="G11" s="86"/>
      <c r="H11" s="86"/>
      <c r="I11" s="86"/>
      <c r="J11" s="86"/>
      <c r="K11" s="86"/>
      <c r="L11" s="86"/>
      <c r="M11" s="86"/>
      <c r="N11" s="86"/>
      <c r="O11" s="86"/>
      <c r="P11" s="86"/>
      <c r="Q11" s="45"/>
      <c r="R11" s="45"/>
      <c r="S11" s="45"/>
      <c r="T11" s="45"/>
      <c r="U11" s="45"/>
      <c r="V11" s="44"/>
      <c r="W11" s="37"/>
      <c r="X11" s="37"/>
      <c r="Y11" s="75"/>
      <c r="Z11" s="37"/>
      <c r="AA11" s="37"/>
      <c r="AB11" s="37"/>
      <c r="AC11" s="37"/>
      <c r="AD11" s="37"/>
      <c r="AE11" s="37"/>
      <c r="AF11" s="37"/>
      <c r="AG11" s="37"/>
      <c r="AH11" s="37"/>
      <c r="AI11" s="37"/>
      <c r="AJ11" s="37"/>
      <c r="AK11" s="37"/>
      <c r="AL11" s="37"/>
      <c r="AM11" s="37"/>
      <c r="AN11" s="37"/>
      <c r="AO11" s="37"/>
      <c r="AP11" s="37"/>
      <c r="AQ11" s="37"/>
      <c r="AR11" s="37"/>
      <c r="AS11" s="37"/>
    </row>
    <row r="12" spans="1:45">
      <c r="A12" s="37"/>
      <c r="B12" s="46"/>
      <c r="C12" s="45"/>
      <c r="D12" s="45"/>
      <c r="E12" s="45"/>
      <c r="F12" s="45"/>
      <c r="G12" s="45"/>
      <c r="H12" s="45"/>
      <c r="I12" s="45"/>
      <c r="J12" s="45"/>
      <c r="K12" s="45"/>
      <c r="L12" s="45"/>
      <c r="M12" s="45"/>
      <c r="N12" s="45"/>
      <c r="O12" s="45"/>
      <c r="P12" s="45"/>
      <c r="Q12" s="45"/>
      <c r="R12" s="45"/>
      <c r="S12" s="45"/>
      <c r="T12" s="45"/>
      <c r="U12" s="45"/>
      <c r="V12" s="44"/>
      <c r="W12" s="37"/>
      <c r="X12" s="37"/>
      <c r="Y12" s="75"/>
      <c r="Z12" s="37"/>
      <c r="AA12" s="37"/>
      <c r="AB12" s="37"/>
      <c r="AC12" s="37"/>
      <c r="AD12" s="37"/>
      <c r="AE12" s="37"/>
      <c r="AF12" s="37"/>
      <c r="AG12" s="37"/>
      <c r="AH12" s="37"/>
      <c r="AI12" s="37"/>
      <c r="AJ12" s="37"/>
      <c r="AK12" s="37"/>
      <c r="AL12" s="37"/>
      <c r="AM12" s="37"/>
      <c r="AN12" s="37"/>
      <c r="AO12" s="37"/>
      <c r="AP12" s="37"/>
      <c r="AQ12" s="37"/>
      <c r="AR12" s="37"/>
      <c r="AS12" s="37"/>
    </row>
    <row r="13" spans="1:45">
      <c r="A13" s="37"/>
      <c r="B13" s="46"/>
      <c r="C13" s="45"/>
      <c r="D13" s="45"/>
      <c r="E13" s="45"/>
      <c r="F13" s="45"/>
      <c r="G13" s="45"/>
      <c r="H13" s="45"/>
      <c r="I13" s="45"/>
      <c r="J13" s="45"/>
      <c r="K13" s="45"/>
      <c r="L13" s="45"/>
      <c r="M13" s="45"/>
      <c r="N13" s="45"/>
      <c r="O13" s="45"/>
      <c r="P13" s="45"/>
      <c r="Q13" s="45"/>
      <c r="R13" s="45"/>
      <c r="S13" s="45"/>
      <c r="T13" s="45"/>
      <c r="U13" s="45"/>
      <c r="V13" s="44"/>
      <c r="W13" s="37"/>
      <c r="X13" s="37"/>
      <c r="Y13" s="75"/>
      <c r="Z13" s="37"/>
      <c r="AA13" s="37"/>
      <c r="AB13" s="37"/>
      <c r="AC13" s="37"/>
      <c r="AD13" s="37"/>
      <c r="AE13" s="37"/>
      <c r="AF13" s="37"/>
      <c r="AG13" s="37"/>
      <c r="AH13" s="37"/>
      <c r="AI13" s="37"/>
      <c r="AJ13" s="37"/>
      <c r="AK13" s="37"/>
      <c r="AL13" s="37"/>
      <c r="AM13" s="37"/>
      <c r="AN13" s="37"/>
      <c r="AO13" s="37"/>
      <c r="AP13" s="37"/>
      <c r="AQ13" s="37"/>
      <c r="AR13" s="37"/>
      <c r="AS13" s="37"/>
    </row>
    <row r="14" spans="1:45">
      <c r="A14" s="37"/>
      <c r="B14" s="46"/>
      <c r="C14" s="85" t="s">
        <v>100</v>
      </c>
      <c r="D14" s="45"/>
      <c r="E14" s="45"/>
      <c r="F14" s="45"/>
      <c r="G14" s="45"/>
      <c r="H14" s="45"/>
      <c r="I14" s="45"/>
      <c r="J14" s="45"/>
      <c r="K14" s="45"/>
      <c r="L14" s="45"/>
      <c r="M14" s="45"/>
      <c r="N14" s="45"/>
      <c r="O14" s="45"/>
      <c r="P14" s="45"/>
      <c r="Q14" s="45"/>
      <c r="R14" s="84">
        <f>B.7!$D$39</f>
        <v>1.1599999999999999E-2</v>
      </c>
      <c r="S14" s="45"/>
      <c r="T14" s="45"/>
      <c r="U14" s="45"/>
      <c r="V14" s="44"/>
      <c r="W14" s="37"/>
      <c r="X14" s="37"/>
      <c r="Y14" s="75"/>
      <c r="Z14" s="37"/>
      <c r="AA14" s="37"/>
      <c r="AB14" s="37"/>
      <c r="AC14" s="37"/>
      <c r="AD14" s="37"/>
      <c r="AE14" s="37"/>
      <c r="AF14" s="37"/>
      <c r="AG14" s="37"/>
      <c r="AH14" s="37"/>
      <c r="AI14" s="37"/>
      <c r="AJ14" s="37"/>
      <c r="AK14" s="37"/>
      <c r="AL14" s="37"/>
      <c r="AM14" s="37"/>
      <c r="AN14" s="37"/>
      <c r="AO14" s="37"/>
      <c r="AP14" s="37"/>
      <c r="AQ14" s="37"/>
      <c r="AR14" s="37"/>
      <c r="AS14" s="37"/>
    </row>
    <row r="15" spans="1:45">
      <c r="A15" s="37"/>
      <c r="B15" s="46"/>
      <c r="C15" s="45"/>
      <c r="D15" s="45"/>
      <c r="E15" s="45"/>
      <c r="F15" s="45"/>
      <c r="G15" s="45"/>
      <c r="H15" s="45"/>
      <c r="I15" s="45"/>
      <c r="J15" s="45"/>
      <c r="K15" s="45"/>
      <c r="L15" s="45"/>
      <c r="M15" s="45"/>
      <c r="N15" s="45"/>
      <c r="O15" s="45"/>
      <c r="P15" s="45"/>
      <c r="Q15" s="45"/>
      <c r="R15" s="45"/>
      <c r="S15" s="45"/>
      <c r="T15" s="45"/>
      <c r="U15" s="45"/>
      <c r="V15" s="44"/>
      <c r="W15" s="37"/>
      <c r="X15" s="37"/>
      <c r="Y15" s="75"/>
      <c r="Z15" s="37"/>
      <c r="AA15" s="37"/>
      <c r="AB15" s="37"/>
      <c r="AC15" s="37"/>
      <c r="AD15" s="37"/>
      <c r="AE15" s="37"/>
      <c r="AF15" s="37"/>
      <c r="AG15" s="37"/>
      <c r="AH15" s="37"/>
      <c r="AI15" s="37"/>
      <c r="AJ15" s="37"/>
      <c r="AK15" s="37"/>
      <c r="AL15" s="37"/>
      <c r="AM15" s="37"/>
      <c r="AN15" s="37"/>
      <c r="AO15" s="37"/>
      <c r="AP15" s="37"/>
      <c r="AQ15" s="37"/>
      <c r="AR15" s="37"/>
      <c r="AS15" s="37"/>
    </row>
    <row r="16" spans="1:45">
      <c r="A16" s="37"/>
      <c r="B16" s="46"/>
      <c r="C16" s="45"/>
      <c r="D16" s="45"/>
      <c r="E16" s="45"/>
      <c r="F16" s="45"/>
      <c r="G16" s="45"/>
      <c r="H16" s="45"/>
      <c r="I16" s="45"/>
      <c r="J16" s="45"/>
      <c r="K16" s="45"/>
      <c r="L16" s="45"/>
      <c r="M16" s="45"/>
      <c r="N16" s="83" t="s">
        <v>99</v>
      </c>
      <c r="O16" s="64"/>
      <c r="P16" s="83" t="s">
        <v>98</v>
      </c>
      <c r="Q16" s="64"/>
      <c r="R16" s="83" t="s">
        <v>97</v>
      </c>
      <c r="S16" s="45"/>
      <c r="T16" s="45"/>
      <c r="U16" s="45"/>
      <c r="V16" s="44"/>
      <c r="W16" s="37"/>
      <c r="X16" s="37"/>
      <c r="Y16" s="75"/>
      <c r="Z16" s="37"/>
      <c r="AA16" s="37"/>
      <c r="AB16" s="37"/>
      <c r="AC16" s="37"/>
      <c r="AD16" s="37"/>
      <c r="AE16" s="37"/>
      <c r="AF16" s="37"/>
      <c r="AG16" s="37"/>
      <c r="AH16" s="37"/>
      <c r="AI16" s="37"/>
      <c r="AJ16" s="37"/>
      <c r="AK16" s="37"/>
      <c r="AL16" s="37"/>
      <c r="AM16" s="37"/>
      <c r="AN16" s="37"/>
      <c r="AO16" s="37"/>
      <c r="AP16" s="37"/>
      <c r="AQ16" s="37"/>
      <c r="AR16" s="37"/>
      <c r="AS16" s="37"/>
    </row>
    <row r="17" spans="1:45">
      <c r="A17" s="37"/>
      <c r="B17" s="46"/>
      <c r="C17" s="45"/>
      <c r="D17" s="45"/>
      <c r="E17" s="45"/>
      <c r="F17" s="45"/>
      <c r="G17" s="45"/>
      <c r="H17" s="45"/>
      <c r="I17" s="45"/>
      <c r="J17" s="45"/>
      <c r="K17" s="45"/>
      <c r="L17" s="45"/>
      <c r="M17" s="45"/>
      <c r="N17" s="82" t="s">
        <v>96</v>
      </c>
      <c r="O17" s="64"/>
      <c r="P17" s="82" t="s">
        <v>32</v>
      </c>
      <c r="Q17" s="64"/>
      <c r="R17" s="82" t="s">
        <v>96</v>
      </c>
      <c r="S17" s="45"/>
      <c r="T17" s="45"/>
      <c r="U17" s="45"/>
      <c r="V17" s="44"/>
      <c r="W17" s="37"/>
      <c r="X17" s="37"/>
      <c r="Y17" s="75"/>
      <c r="Z17" s="37"/>
      <c r="AA17" s="37"/>
      <c r="AB17" s="37"/>
      <c r="AC17" s="37"/>
      <c r="AD17" s="37"/>
      <c r="AE17" s="37"/>
      <c r="AF17" s="37"/>
      <c r="AG17" s="37"/>
      <c r="AH17" s="37"/>
      <c r="AI17" s="37"/>
      <c r="AJ17" s="37"/>
      <c r="AK17" s="37"/>
      <c r="AL17" s="37"/>
      <c r="AM17" s="37"/>
      <c r="AN17" s="37"/>
      <c r="AO17" s="37"/>
      <c r="AP17" s="37"/>
      <c r="AQ17" s="37"/>
      <c r="AR17" s="37"/>
      <c r="AS17" s="37"/>
    </row>
    <row r="18" spans="1:45" ht="14.25">
      <c r="A18" s="37"/>
      <c r="B18" s="46"/>
      <c r="C18" s="55" t="s">
        <v>95</v>
      </c>
      <c r="D18" s="45"/>
      <c r="E18" s="45"/>
      <c r="F18" s="45"/>
      <c r="G18" s="45"/>
      <c r="H18" s="45"/>
      <c r="I18" s="45"/>
      <c r="J18" s="45"/>
      <c r="K18" s="45"/>
      <c r="L18" s="45"/>
      <c r="M18" s="45"/>
      <c r="N18" s="45"/>
      <c r="O18" s="45"/>
      <c r="P18" s="45"/>
      <c r="Q18" s="45"/>
      <c r="R18" s="45"/>
      <c r="S18" s="45"/>
      <c r="T18" s="45"/>
      <c r="U18" s="45"/>
      <c r="V18" s="44"/>
      <c r="W18" s="37"/>
      <c r="X18" s="37"/>
      <c r="Y18" s="75"/>
      <c r="Z18" s="37"/>
      <c r="AA18" s="37"/>
      <c r="AB18" s="37"/>
      <c r="AC18" s="37"/>
      <c r="AD18" s="37"/>
      <c r="AE18" s="37"/>
      <c r="AF18" s="37"/>
      <c r="AG18" s="37"/>
      <c r="AH18" s="37"/>
      <c r="AI18" s="37"/>
      <c r="AJ18" s="37"/>
      <c r="AK18" s="37"/>
      <c r="AL18" s="37"/>
      <c r="AM18" s="37"/>
      <c r="AN18" s="37"/>
      <c r="AO18" s="37"/>
      <c r="AP18" s="37"/>
      <c r="AQ18" s="37"/>
      <c r="AR18" s="37"/>
      <c r="AS18" s="37"/>
    </row>
    <row r="19" spans="1:45">
      <c r="A19" s="37"/>
      <c r="B19" s="46"/>
      <c r="C19" s="45"/>
      <c r="D19" s="45"/>
      <c r="E19" s="55" t="s">
        <v>94</v>
      </c>
      <c r="F19" s="45"/>
      <c r="G19" s="45"/>
      <c r="H19" s="45"/>
      <c r="I19" s="45"/>
      <c r="J19" s="45"/>
      <c r="K19" s="45"/>
      <c r="L19" s="45"/>
      <c r="M19" s="45"/>
      <c r="N19" s="45"/>
      <c r="O19" s="45"/>
      <c r="P19" s="45"/>
      <c r="Q19" s="45"/>
      <c r="R19" s="45"/>
      <c r="S19" s="45"/>
      <c r="T19" s="45"/>
      <c r="U19" s="45"/>
      <c r="V19" s="44"/>
      <c r="W19" s="37"/>
      <c r="X19" s="37"/>
      <c r="Y19" s="75"/>
      <c r="Z19" s="37"/>
      <c r="AA19" s="37"/>
      <c r="AB19" s="37"/>
      <c r="AC19" s="37"/>
      <c r="AD19" s="37"/>
      <c r="AE19" s="37"/>
      <c r="AF19" s="37"/>
      <c r="AG19" s="37"/>
      <c r="AH19" s="37"/>
      <c r="AI19" s="37"/>
      <c r="AJ19" s="37"/>
      <c r="AK19" s="37"/>
      <c r="AL19" s="37"/>
      <c r="AM19" s="37"/>
      <c r="AN19" s="37"/>
      <c r="AO19" s="37"/>
      <c r="AP19" s="37"/>
      <c r="AQ19" s="37"/>
      <c r="AR19" s="37"/>
      <c r="AS19" s="37"/>
    </row>
    <row r="20" spans="1:45" ht="14.25">
      <c r="A20" s="37"/>
      <c r="B20" s="46"/>
      <c r="C20" s="45"/>
      <c r="D20" s="45"/>
      <c r="E20" s="45" t="s">
        <v>24</v>
      </c>
      <c r="F20" s="45"/>
      <c r="G20" s="45"/>
      <c r="H20" s="53">
        <v>300</v>
      </c>
      <c r="I20" s="79"/>
      <c r="J20" s="45" t="s">
        <v>22</v>
      </c>
      <c r="K20" s="45"/>
      <c r="L20" s="45" t="s">
        <v>61</v>
      </c>
      <c r="M20" s="45"/>
      <c r="N20" s="69">
        <f>A.2!I12</f>
        <v>1.3180000000000001</v>
      </c>
      <c r="O20" s="45" t="s">
        <v>91</v>
      </c>
      <c r="P20" s="69">
        <v>0</v>
      </c>
      <c r="Q20" s="45" t="s">
        <v>90</v>
      </c>
      <c r="R20" s="69">
        <f>N20+P20</f>
        <v>1.3180000000000001</v>
      </c>
      <c r="S20" s="45" t="s">
        <v>60</v>
      </c>
      <c r="T20" s="45"/>
      <c r="U20" s="45"/>
      <c r="V20" s="44"/>
      <c r="W20" s="37"/>
      <c r="X20" s="37"/>
      <c r="Y20" s="80" t="str">
        <f>IF(A.2!$K$12&gt;0,"(I)",IF(A.2!$K$12&lt;0,"(R)","(-)"))</f>
        <v>(-)</v>
      </c>
      <c r="Z20" s="37"/>
      <c r="AA20" s="37"/>
      <c r="AB20" s="37"/>
      <c r="AC20" s="37"/>
      <c r="AD20" s="37"/>
      <c r="AE20" s="37"/>
      <c r="AF20" s="37"/>
      <c r="AG20" s="37"/>
      <c r="AH20" s="37"/>
      <c r="AI20" s="37"/>
      <c r="AJ20" s="37"/>
      <c r="AK20" s="37"/>
      <c r="AL20" s="37"/>
      <c r="AM20" s="37"/>
      <c r="AN20" s="37"/>
      <c r="AO20" s="37"/>
      <c r="AP20" s="37"/>
      <c r="AQ20" s="37"/>
      <c r="AR20" s="37"/>
      <c r="AS20" s="37"/>
    </row>
    <row r="21" spans="1:45" ht="14.25">
      <c r="A21" s="37"/>
      <c r="B21" s="46"/>
      <c r="C21" s="45"/>
      <c r="D21" s="45"/>
      <c r="E21" s="45" t="s">
        <v>36</v>
      </c>
      <c r="F21" s="45"/>
      <c r="G21" s="45"/>
      <c r="H21" s="53">
        <v>14700</v>
      </c>
      <c r="I21" s="79"/>
      <c r="J21" s="45" t="s">
        <v>22</v>
      </c>
      <c r="K21" s="45"/>
      <c r="L21" s="45" t="s">
        <v>61</v>
      </c>
      <c r="M21" s="45"/>
      <c r="N21" s="63">
        <f>A.2!I13</f>
        <v>0.88</v>
      </c>
      <c r="O21" s="45" t="s">
        <v>91</v>
      </c>
      <c r="P21" s="63">
        <f>P20</f>
        <v>0</v>
      </c>
      <c r="Q21" s="45" t="s">
        <v>90</v>
      </c>
      <c r="R21" s="63">
        <f>N21+P21</f>
        <v>0.88</v>
      </c>
      <c r="S21" s="45" t="s">
        <v>60</v>
      </c>
      <c r="T21" s="45"/>
      <c r="U21" s="45"/>
      <c r="V21" s="44"/>
      <c r="W21" s="37"/>
      <c r="X21" s="37"/>
      <c r="Y21" s="80" t="str">
        <f>IF(A.2!$K$13&gt;0,"(I)",IF(A.2!$K$13&lt;0,"(R)","(-)"))</f>
        <v>(-)</v>
      </c>
      <c r="Z21" s="37"/>
      <c r="AA21" s="37"/>
      <c r="AB21" s="37"/>
      <c r="AC21" s="37"/>
      <c r="AD21" s="37"/>
      <c r="AE21" s="37"/>
      <c r="AF21" s="37"/>
      <c r="AG21" s="37"/>
      <c r="AH21" s="37"/>
      <c r="AI21" s="37"/>
      <c r="AJ21" s="37"/>
      <c r="AK21" s="37"/>
      <c r="AL21" s="37"/>
      <c r="AM21" s="37"/>
      <c r="AN21" s="37"/>
      <c r="AO21" s="37"/>
      <c r="AP21" s="37"/>
      <c r="AQ21" s="37"/>
      <c r="AR21" s="37"/>
      <c r="AS21" s="37"/>
    </row>
    <row r="22" spans="1:45">
      <c r="A22" s="37"/>
      <c r="B22" s="46"/>
      <c r="C22" s="45"/>
      <c r="D22" s="45"/>
      <c r="E22" s="45" t="s">
        <v>92</v>
      </c>
      <c r="F22" s="45"/>
      <c r="G22" s="45"/>
      <c r="H22" s="53">
        <v>15000</v>
      </c>
      <c r="I22" s="45"/>
      <c r="J22" s="45" t="s">
        <v>22</v>
      </c>
      <c r="K22" s="45"/>
      <c r="L22" s="45" t="s">
        <v>61</v>
      </c>
      <c r="M22" s="45"/>
      <c r="N22" s="63">
        <f>A.2!I14</f>
        <v>0.62</v>
      </c>
      <c r="O22" s="45" t="s">
        <v>91</v>
      </c>
      <c r="P22" s="63">
        <f>P20</f>
        <v>0</v>
      </c>
      <c r="Q22" s="45" t="s">
        <v>90</v>
      </c>
      <c r="R22" s="63">
        <f>N22+P22</f>
        <v>0.62</v>
      </c>
      <c r="S22" s="45" t="s">
        <v>60</v>
      </c>
      <c r="T22" s="45"/>
      <c r="U22" s="45"/>
      <c r="V22" s="44"/>
      <c r="W22" s="37"/>
      <c r="X22" s="37"/>
      <c r="Y22" s="80" t="str">
        <f>IF(A.2!$K$14&gt;0,"(I)",IF(A.2!$K$14&lt;0,"(R)","(-)"))</f>
        <v>(-)</v>
      </c>
      <c r="Z22" s="37"/>
      <c r="AA22" s="37"/>
      <c r="AB22" s="37"/>
      <c r="AC22" s="37"/>
      <c r="AD22" s="37"/>
      <c r="AE22" s="37"/>
      <c r="AF22" s="37"/>
      <c r="AG22" s="37"/>
      <c r="AH22" s="37"/>
      <c r="AI22" s="37"/>
      <c r="AJ22" s="37"/>
      <c r="AK22" s="37"/>
      <c r="AL22" s="37"/>
      <c r="AM22" s="37"/>
      <c r="AN22" s="37"/>
      <c r="AO22" s="37"/>
      <c r="AP22" s="37"/>
      <c r="AQ22" s="37"/>
      <c r="AR22" s="37"/>
      <c r="AS22" s="37"/>
    </row>
    <row r="23" spans="1:45">
      <c r="A23" s="37"/>
      <c r="B23" s="46"/>
      <c r="C23" s="45"/>
      <c r="D23" s="45"/>
      <c r="E23" s="45"/>
      <c r="F23" s="45"/>
      <c r="G23" s="45"/>
      <c r="H23" s="53"/>
      <c r="I23" s="45"/>
      <c r="J23" s="45"/>
      <c r="K23" s="45"/>
      <c r="L23" s="45"/>
      <c r="M23" s="45"/>
      <c r="N23" s="63"/>
      <c r="O23" s="45"/>
      <c r="P23" s="63"/>
      <c r="Q23" s="45"/>
      <c r="R23" s="63"/>
      <c r="S23" s="45"/>
      <c r="T23" s="45"/>
      <c r="U23" s="45"/>
      <c r="V23" s="44"/>
      <c r="W23" s="37"/>
      <c r="X23" s="37"/>
      <c r="Y23" s="75"/>
      <c r="Z23" s="37"/>
      <c r="AA23" s="37"/>
      <c r="AB23" s="37"/>
      <c r="AC23" s="37"/>
      <c r="AD23" s="37"/>
      <c r="AE23" s="37"/>
      <c r="AF23" s="37"/>
      <c r="AG23" s="37"/>
      <c r="AH23" s="37"/>
      <c r="AI23" s="37"/>
      <c r="AJ23" s="37"/>
      <c r="AK23" s="37"/>
      <c r="AL23" s="37"/>
      <c r="AM23" s="37"/>
      <c r="AN23" s="37"/>
      <c r="AO23" s="37"/>
      <c r="AP23" s="37"/>
      <c r="AQ23" s="37"/>
      <c r="AR23" s="37"/>
      <c r="AS23" s="37"/>
    </row>
    <row r="24" spans="1:45">
      <c r="B24" s="81"/>
      <c r="V24" s="60"/>
      <c r="Y24" s="36"/>
    </row>
    <row r="25" spans="1:45">
      <c r="B25" s="81"/>
      <c r="V25" s="60"/>
      <c r="Y25" s="1"/>
    </row>
    <row r="26" spans="1:45">
      <c r="B26" s="46"/>
      <c r="C26" s="45"/>
      <c r="D26" s="45"/>
      <c r="E26" s="55" t="s">
        <v>93</v>
      </c>
      <c r="F26" s="45"/>
      <c r="G26" s="45"/>
      <c r="H26" s="45"/>
      <c r="I26" s="45"/>
      <c r="J26" s="45"/>
      <c r="K26" s="45"/>
      <c r="L26" s="45"/>
      <c r="M26" s="45"/>
      <c r="N26" s="45"/>
      <c r="O26" s="45"/>
      <c r="P26" s="45"/>
      <c r="Q26" s="45"/>
      <c r="R26" s="45"/>
      <c r="S26" s="45"/>
      <c r="T26" s="45"/>
      <c r="U26" s="45"/>
      <c r="V26" s="44"/>
      <c r="W26" s="37"/>
      <c r="X26" s="37"/>
      <c r="Y26" s="75"/>
    </row>
    <row r="27" spans="1:45" ht="14.25">
      <c r="B27" s="46"/>
      <c r="C27" s="45"/>
      <c r="D27" s="45"/>
      <c r="E27" s="45" t="s">
        <v>24</v>
      </c>
      <c r="F27" s="45"/>
      <c r="G27" s="45"/>
      <c r="H27" s="53">
        <v>15000</v>
      </c>
      <c r="I27" s="79"/>
      <c r="J27" s="45" t="s">
        <v>22</v>
      </c>
      <c r="K27" s="45"/>
      <c r="L27" s="45" t="s">
        <v>61</v>
      </c>
      <c r="M27" s="45"/>
      <c r="N27" s="69">
        <f>A.2!I20</f>
        <v>0.79</v>
      </c>
      <c r="O27" s="45" t="s">
        <v>91</v>
      </c>
      <c r="P27" s="69">
        <v>0</v>
      </c>
      <c r="Q27" s="45" t="s">
        <v>90</v>
      </c>
      <c r="R27" s="69">
        <f>N27+P27</f>
        <v>0.79</v>
      </c>
      <c r="S27" s="45" t="s">
        <v>60</v>
      </c>
      <c r="T27" s="45"/>
      <c r="U27" s="45"/>
      <c r="V27" s="44"/>
      <c r="W27" s="37"/>
      <c r="X27" s="37"/>
      <c r="Y27" s="80" t="str">
        <f>IF(A.2!$K$20&gt;0,"(I)",IF(A.2!$K$20&lt;0,"(R)","(-)"))</f>
        <v>(-)</v>
      </c>
    </row>
    <row r="28" spans="1:45">
      <c r="B28" s="46"/>
      <c r="C28" s="45"/>
      <c r="D28" s="45"/>
      <c r="E28" s="45" t="s">
        <v>92</v>
      </c>
      <c r="F28" s="45"/>
      <c r="G28" s="45"/>
      <c r="H28" s="53">
        <v>15000</v>
      </c>
      <c r="I28" s="45"/>
      <c r="J28" s="45" t="s">
        <v>22</v>
      </c>
      <c r="K28" s="45"/>
      <c r="L28" s="45" t="s">
        <v>61</v>
      </c>
      <c r="M28" s="45"/>
      <c r="N28" s="63">
        <f>A.2!I21</f>
        <v>0.53</v>
      </c>
      <c r="O28" s="45" t="s">
        <v>91</v>
      </c>
      <c r="P28" s="63">
        <f>P27</f>
        <v>0</v>
      </c>
      <c r="Q28" s="45" t="s">
        <v>90</v>
      </c>
      <c r="R28" s="63">
        <f>N28+P28</f>
        <v>0.53</v>
      </c>
      <c r="S28" s="45" t="s">
        <v>60</v>
      </c>
      <c r="T28" s="45"/>
      <c r="U28" s="45"/>
      <c r="V28" s="44"/>
      <c r="W28" s="37"/>
      <c r="X28" s="37"/>
      <c r="Y28" s="80" t="str">
        <f>IF(A.2!$K$21&gt;0,"(I)",IF(A.2!$K$21&lt;0,"(R)","(-)"))</f>
        <v>(-)</v>
      </c>
    </row>
    <row r="29" spans="1:45">
      <c r="B29" s="46"/>
      <c r="C29" s="45"/>
      <c r="D29" s="45"/>
      <c r="E29" s="45"/>
      <c r="F29" s="45"/>
      <c r="G29" s="45"/>
      <c r="H29" s="45"/>
      <c r="I29" s="45"/>
      <c r="J29" s="45"/>
      <c r="K29" s="45"/>
      <c r="L29" s="45"/>
      <c r="M29" s="45"/>
      <c r="N29" s="45"/>
      <c r="O29" s="45"/>
      <c r="P29" s="45"/>
      <c r="Q29" s="45"/>
      <c r="R29" s="45"/>
      <c r="S29" s="45"/>
      <c r="T29" s="45"/>
      <c r="U29" s="45"/>
      <c r="V29" s="44"/>
      <c r="W29" s="37"/>
      <c r="X29" s="37"/>
      <c r="Y29" s="75"/>
    </row>
    <row r="30" spans="1:45">
      <c r="A30" s="37"/>
      <c r="B30" s="46"/>
      <c r="C30" s="55"/>
      <c r="D30" s="45"/>
      <c r="E30" s="45"/>
      <c r="F30" s="45"/>
      <c r="G30" s="45"/>
      <c r="H30" s="45"/>
      <c r="I30" s="45"/>
      <c r="J30" s="45"/>
      <c r="K30" s="45"/>
      <c r="L30" s="45"/>
      <c r="M30" s="45"/>
      <c r="N30" s="45"/>
      <c r="O30" s="45"/>
      <c r="P30" s="45"/>
      <c r="Q30" s="45"/>
      <c r="R30" s="45"/>
      <c r="S30" s="45"/>
      <c r="T30" s="45"/>
      <c r="U30" s="45"/>
      <c r="V30" s="44"/>
      <c r="W30" s="37"/>
      <c r="X30" s="37"/>
      <c r="Y30" s="75"/>
      <c r="Z30" s="37"/>
      <c r="AA30" s="37"/>
      <c r="AB30" s="37"/>
      <c r="AC30" s="37"/>
      <c r="AD30" s="37"/>
      <c r="AE30" s="37"/>
      <c r="AF30" s="37"/>
      <c r="AG30" s="37"/>
      <c r="AH30" s="37"/>
      <c r="AI30" s="37"/>
      <c r="AJ30" s="37"/>
      <c r="AK30" s="37"/>
      <c r="AL30" s="37"/>
      <c r="AM30" s="37"/>
      <c r="AN30" s="37"/>
      <c r="AO30" s="37"/>
      <c r="AP30" s="37"/>
      <c r="AQ30" s="37"/>
      <c r="AR30" s="37"/>
      <c r="AS30" s="37"/>
    </row>
    <row r="31" spans="1:45">
      <c r="A31" s="37"/>
      <c r="B31" s="46"/>
      <c r="C31" s="45"/>
      <c r="D31" s="45"/>
      <c r="E31" s="55"/>
      <c r="F31" s="45"/>
      <c r="G31" s="45"/>
      <c r="H31" s="45"/>
      <c r="I31" s="45"/>
      <c r="J31" s="45"/>
      <c r="K31" s="45"/>
      <c r="L31" s="45"/>
      <c r="M31" s="45"/>
      <c r="N31" s="45"/>
      <c r="O31" s="45"/>
      <c r="P31" s="45"/>
      <c r="Q31" s="45"/>
      <c r="R31" s="45"/>
      <c r="S31" s="45"/>
      <c r="T31" s="45"/>
      <c r="U31" s="45"/>
      <c r="V31" s="44"/>
      <c r="W31" s="37"/>
      <c r="X31" s="37"/>
      <c r="Y31" s="75"/>
      <c r="Z31" s="37"/>
      <c r="AA31" s="37"/>
      <c r="AB31" s="37"/>
      <c r="AC31" s="37"/>
      <c r="AD31" s="37"/>
      <c r="AE31" s="37"/>
      <c r="AF31" s="37"/>
      <c r="AG31" s="37"/>
      <c r="AH31" s="37"/>
      <c r="AI31" s="37"/>
      <c r="AJ31" s="37"/>
      <c r="AK31" s="37"/>
      <c r="AL31" s="37"/>
      <c r="AM31" s="37"/>
      <c r="AN31" s="37"/>
      <c r="AO31" s="37"/>
      <c r="AP31" s="37"/>
      <c r="AQ31" s="37"/>
      <c r="AR31" s="37"/>
      <c r="AS31" s="37"/>
    </row>
    <row r="32" spans="1:45" ht="14.25">
      <c r="A32" s="37"/>
      <c r="B32" s="46"/>
      <c r="C32" s="45"/>
      <c r="D32" s="45"/>
      <c r="E32" s="45"/>
      <c r="F32" s="45"/>
      <c r="G32" s="45"/>
      <c r="H32" s="53"/>
      <c r="I32" s="79"/>
      <c r="J32" s="45"/>
      <c r="K32" s="45"/>
      <c r="L32" s="45"/>
      <c r="M32" s="45"/>
      <c r="N32" s="69"/>
      <c r="O32" s="45"/>
      <c r="P32" s="69"/>
      <c r="Q32" s="45"/>
      <c r="R32" s="69"/>
      <c r="S32" s="45"/>
      <c r="T32" s="45"/>
      <c r="U32" s="45"/>
      <c r="V32" s="44"/>
      <c r="W32" s="37"/>
      <c r="X32" s="37"/>
      <c r="Y32" s="78"/>
      <c r="Z32" s="37"/>
      <c r="AA32" s="37"/>
      <c r="AB32" s="37"/>
      <c r="AC32" s="37"/>
      <c r="AD32" s="37"/>
      <c r="AE32" s="37"/>
      <c r="AF32" s="37"/>
      <c r="AG32" s="37"/>
      <c r="AH32" s="37"/>
      <c r="AI32" s="37"/>
      <c r="AJ32" s="37"/>
      <c r="AK32" s="37"/>
      <c r="AL32" s="37"/>
      <c r="AM32" s="37"/>
      <c r="AN32" s="37"/>
      <c r="AO32" s="37"/>
      <c r="AP32" s="37"/>
      <c r="AQ32" s="37"/>
      <c r="AR32" s="37"/>
      <c r="AS32" s="37"/>
    </row>
    <row r="33" spans="1:45" ht="14.25">
      <c r="A33" s="37"/>
      <c r="B33" s="46"/>
      <c r="C33" s="45"/>
      <c r="D33" s="45"/>
      <c r="E33" s="45"/>
      <c r="F33" s="45"/>
      <c r="G33" s="45"/>
      <c r="H33" s="53"/>
      <c r="I33" s="79"/>
      <c r="J33" s="45"/>
      <c r="K33" s="45"/>
      <c r="L33" s="45"/>
      <c r="M33" s="45"/>
      <c r="N33" s="63"/>
      <c r="O33" s="45"/>
      <c r="P33" s="63"/>
      <c r="Q33" s="45"/>
      <c r="R33" s="63"/>
      <c r="S33" s="45"/>
      <c r="T33" s="45"/>
      <c r="U33" s="45"/>
      <c r="V33" s="44"/>
      <c r="W33" s="37"/>
      <c r="X33" s="37"/>
      <c r="Y33" s="78"/>
      <c r="Z33" s="37"/>
      <c r="AA33" s="37"/>
      <c r="AB33" s="37"/>
      <c r="AC33" s="37"/>
      <c r="AD33" s="37"/>
      <c r="AE33" s="37"/>
      <c r="AF33" s="37"/>
      <c r="AG33" s="37"/>
      <c r="AH33" s="37"/>
      <c r="AI33" s="37"/>
      <c r="AJ33" s="37"/>
      <c r="AK33" s="37"/>
      <c r="AL33" s="37"/>
      <c r="AM33" s="37"/>
      <c r="AN33" s="37"/>
      <c r="AO33" s="37"/>
      <c r="AP33" s="37"/>
      <c r="AQ33" s="37"/>
      <c r="AR33" s="37"/>
      <c r="AS33" s="37"/>
    </row>
    <row r="34" spans="1:45">
      <c r="A34" s="37"/>
      <c r="B34" s="46"/>
      <c r="C34" s="45"/>
      <c r="D34" s="45"/>
      <c r="E34" s="45"/>
      <c r="F34" s="45"/>
      <c r="G34" s="45"/>
      <c r="H34" s="53"/>
      <c r="I34" s="45"/>
      <c r="J34" s="45"/>
      <c r="K34" s="45"/>
      <c r="L34" s="45"/>
      <c r="M34" s="45"/>
      <c r="N34" s="63"/>
      <c r="O34" s="45"/>
      <c r="P34" s="63"/>
      <c r="Q34" s="45"/>
      <c r="R34" s="69"/>
      <c r="S34" s="45"/>
      <c r="T34" s="45"/>
      <c r="U34" s="45"/>
      <c r="V34" s="44"/>
      <c r="W34" s="37"/>
      <c r="X34" s="37"/>
      <c r="Y34" s="78"/>
      <c r="Z34" s="37"/>
      <c r="AA34" s="37"/>
      <c r="AB34" s="37"/>
      <c r="AC34" s="37"/>
      <c r="AD34" s="37"/>
      <c r="AE34" s="37"/>
      <c r="AF34" s="37"/>
      <c r="AG34" s="37"/>
      <c r="AH34" s="37"/>
      <c r="AI34" s="37"/>
      <c r="AJ34" s="37"/>
      <c r="AK34" s="37"/>
      <c r="AL34" s="37"/>
      <c r="AM34" s="37"/>
      <c r="AN34" s="37"/>
      <c r="AO34" s="37"/>
      <c r="AP34" s="37"/>
      <c r="AQ34" s="37"/>
      <c r="AR34" s="37"/>
      <c r="AS34" s="37"/>
    </row>
    <row r="35" spans="1:45">
      <c r="A35" s="37"/>
      <c r="B35" s="46"/>
      <c r="C35" s="45"/>
      <c r="D35" s="45"/>
      <c r="E35" s="45"/>
      <c r="F35" s="45"/>
      <c r="G35" s="45"/>
      <c r="H35" s="53"/>
      <c r="I35" s="45"/>
      <c r="J35" s="45"/>
      <c r="K35" s="45"/>
      <c r="L35" s="45"/>
      <c r="M35" s="45"/>
      <c r="N35" s="63"/>
      <c r="O35" s="45"/>
      <c r="P35" s="63"/>
      <c r="Q35" s="45"/>
      <c r="R35" s="63"/>
      <c r="S35" s="45"/>
      <c r="T35" s="45"/>
      <c r="U35" s="45"/>
      <c r="V35" s="44"/>
      <c r="W35" s="37"/>
      <c r="X35" s="37"/>
      <c r="Y35" s="75"/>
      <c r="Z35" s="37"/>
      <c r="AA35" s="37"/>
      <c r="AB35" s="37"/>
      <c r="AC35" s="37"/>
      <c r="AD35" s="37"/>
      <c r="AE35" s="37"/>
      <c r="AF35" s="37"/>
      <c r="AG35" s="37"/>
      <c r="AH35" s="37"/>
      <c r="AI35" s="37"/>
      <c r="AJ35" s="37"/>
      <c r="AK35" s="37"/>
      <c r="AL35" s="37"/>
      <c r="AM35" s="37"/>
      <c r="AN35" s="37"/>
      <c r="AO35" s="37"/>
      <c r="AP35" s="37"/>
      <c r="AQ35" s="37"/>
      <c r="AR35" s="37"/>
      <c r="AS35" s="37"/>
    </row>
    <row r="36" spans="1:45" ht="14.25">
      <c r="A36" s="37"/>
      <c r="B36" s="46"/>
      <c r="C36" s="77">
        <v>1</v>
      </c>
      <c r="D36" s="45" t="s">
        <v>89</v>
      </c>
      <c r="E36" s="45"/>
      <c r="F36" s="45"/>
      <c r="G36" s="45"/>
      <c r="H36" s="45"/>
      <c r="I36" s="45"/>
      <c r="J36" s="45"/>
      <c r="K36" s="45"/>
      <c r="L36" s="45"/>
      <c r="M36" s="45"/>
      <c r="N36" s="45"/>
      <c r="O36" s="45"/>
      <c r="P36" s="45"/>
      <c r="Q36" s="45"/>
      <c r="R36" s="45"/>
      <c r="S36" s="45"/>
      <c r="T36" s="45"/>
      <c r="U36" s="45"/>
      <c r="V36" s="44"/>
      <c r="W36" s="37"/>
      <c r="X36" s="37"/>
      <c r="Y36" s="75"/>
      <c r="Z36" s="37"/>
      <c r="AA36" s="37"/>
      <c r="AB36" s="37"/>
      <c r="AC36" s="37"/>
      <c r="AD36" s="37"/>
      <c r="AE36" s="37"/>
      <c r="AF36" s="37"/>
      <c r="AG36" s="37"/>
      <c r="AH36" s="37"/>
      <c r="AI36" s="37"/>
      <c r="AJ36" s="37"/>
      <c r="AK36" s="37"/>
      <c r="AL36" s="37"/>
      <c r="AM36" s="37"/>
      <c r="AN36" s="37"/>
      <c r="AO36" s="37"/>
      <c r="AP36" s="37"/>
      <c r="AQ36" s="37"/>
      <c r="AR36" s="37"/>
      <c r="AS36" s="37"/>
    </row>
    <row r="37" spans="1:45" ht="14.25">
      <c r="A37" s="37"/>
      <c r="B37" s="46"/>
      <c r="C37" s="77"/>
      <c r="D37" s="45"/>
      <c r="E37" s="45"/>
      <c r="F37" s="45"/>
      <c r="G37" s="45"/>
      <c r="H37" s="45"/>
      <c r="I37" s="45"/>
      <c r="J37" s="45"/>
      <c r="K37" s="45"/>
      <c r="L37" s="45"/>
      <c r="M37" s="45"/>
      <c r="N37" s="45"/>
      <c r="O37" s="45"/>
      <c r="P37" s="45"/>
      <c r="Q37" s="45"/>
      <c r="R37" s="45"/>
      <c r="S37" s="45"/>
      <c r="T37" s="45"/>
      <c r="U37" s="45"/>
      <c r="V37" s="44"/>
      <c r="W37" s="37"/>
      <c r="X37" s="37"/>
      <c r="Y37" s="75"/>
      <c r="Z37" s="37"/>
      <c r="AA37" s="37"/>
      <c r="AB37" s="37"/>
      <c r="AC37" s="37"/>
      <c r="AD37" s="37"/>
      <c r="AE37" s="37"/>
      <c r="AF37" s="37"/>
      <c r="AG37" s="37"/>
      <c r="AH37" s="37"/>
      <c r="AI37" s="37"/>
      <c r="AJ37" s="37"/>
      <c r="AK37" s="37"/>
      <c r="AL37" s="37"/>
      <c r="AM37" s="37"/>
      <c r="AN37" s="37"/>
      <c r="AO37" s="37"/>
      <c r="AP37" s="37"/>
      <c r="AQ37" s="37"/>
      <c r="AR37" s="37"/>
      <c r="AS37" s="37"/>
    </row>
    <row r="38" spans="1:45" ht="14.25">
      <c r="A38" s="37"/>
      <c r="B38" s="46"/>
      <c r="C38" s="77"/>
      <c r="D38" s="45"/>
      <c r="E38" s="45"/>
      <c r="F38" s="45"/>
      <c r="G38" s="45"/>
      <c r="H38" s="45"/>
      <c r="I38" s="45"/>
      <c r="J38" s="45"/>
      <c r="K38" s="45"/>
      <c r="L38" s="45"/>
      <c r="M38" s="45"/>
      <c r="N38" s="45"/>
      <c r="O38" s="45"/>
      <c r="P38" s="45"/>
      <c r="Q38" s="45"/>
      <c r="R38" s="45"/>
      <c r="S38" s="45"/>
      <c r="T38" s="45"/>
      <c r="U38" s="45"/>
      <c r="V38" s="44"/>
      <c r="W38" s="37"/>
      <c r="X38" s="37"/>
      <c r="Y38" s="75"/>
      <c r="Z38" s="37"/>
      <c r="AA38" s="37"/>
      <c r="AB38" s="37"/>
      <c r="AC38" s="37"/>
      <c r="AD38" s="37"/>
      <c r="AE38" s="37"/>
      <c r="AF38" s="37"/>
      <c r="AG38" s="37"/>
      <c r="AH38" s="37"/>
      <c r="AI38" s="37"/>
      <c r="AJ38" s="37"/>
      <c r="AK38" s="37"/>
      <c r="AL38" s="37"/>
      <c r="AM38" s="37"/>
      <c r="AN38" s="37"/>
      <c r="AO38" s="37"/>
      <c r="AP38" s="37"/>
      <c r="AQ38" s="37"/>
      <c r="AR38" s="37"/>
      <c r="AS38" s="37"/>
    </row>
    <row r="39" spans="1:45" ht="14.25">
      <c r="A39" s="37"/>
      <c r="B39" s="43"/>
      <c r="C39" s="76"/>
      <c r="D39" s="42"/>
      <c r="E39" s="42"/>
      <c r="F39" s="42"/>
      <c r="G39" s="42"/>
      <c r="H39" s="42"/>
      <c r="I39" s="42"/>
      <c r="J39" s="42"/>
      <c r="K39" s="42"/>
      <c r="L39" s="42"/>
      <c r="M39" s="42"/>
      <c r="N39" s="42"/>
      <c r="O39" s="42"/>
      <c r="P39" s="42"/>
      <c r="Q39" s="42"/>
      <c r="R39" s="42"/>
      <c r="S39" s="42"/>
      <c r="T39" s="42"/>
      <c r="U39" s="42"/>
      <c r="V39" s="41"/>
      <c r="W39" s="37"/>
      <c r="X39" s="37"/>
      <c r="Y39" s="75"/>
      <c r="Z39" s="37"/>
      <c r="AA39" s="37"/>
      <c r="AB39" s="37"/>
      <c r="AC39" s="37"/>
      <c r="AD39" s="37"/>
      <c r="AE39" s="37"/>
      <c r="AF39" s="37"/>
      <c r="AG39" s="37"/>
      <c r="AH39" s="37"/>
      <c r="AI39" s="37"/>
      <c r="AJ39" s="37"/>
      <c r="AK39" s="37"/>
      <c r="AL39" s="37"/>
      <c r="AM39" s="37"/>
      <c r="AN39" s="37"/>
      <c r="AO39" s="37"/>
      <c r="AP39" s="37"/>
      <c r="AQ39" s="37"/>
      <c r="AR39" s="37"/>
      <c r="AS39" s="37"/>
    </row>
    <row r="40" spans="1:45" ht="9" customHeight="1" thickBot="1">
      <c r="A40" s="45"/>
      <c r="B40" s="682"/>
      <c r="C40" s="682"/>
      <c r="D40" s="682"/>
      <c r="E40" s="682"/>
      <c r="F40" s="682"/>
      <c r="G40" s="682"/>
      <c r="H40" s="682"/>
      <c r="I40" s="682"/>
      <c r="J40" s="682"/>
      <c r="K40" s="682"/>
      <c r="L40" s="682"/>
      <c r="M40" s="682"/>
      <c r="N40" s="682"/>
      <c r="O40" s="682"/>
      <c r="P40" s="682"/>
      <c r="Q40" s="682"/>
      <c r="R40" s="682"/>
      <c r="S40" s="682"/>
      <c r="T40" s="682"/>
      <c r="U40" s="680"/>
      <c r="V40" s="683"/>
      <c r="W40" s="668"/>
      <c r="X40" s="37"/>
      <c r="Y40" s="37"/>
      <c r="Z40" s="37"/>
      <c r="AA40" s="37"/>
      <c r="AB40" s="37"/>
      <c r="AC40" s="37"/>
      <c r="AD40" s="37"/>
      <c r="AE40" s="37"/>
      <c r="AF40" s="37"/>
      <c r="AG40" s="37"/>
      <c r="AH40" s="37"/>
      <c r="AI40" s="37"/>
      <c r="AJ40" s="37"/>
      <c r="AK40" s="37"/>
    </row>
    <row r="41" spans="1:45" ht="9" customHeight="1">
      <c r="A41" s="45"/>
      <c r="B41" s="45"/>
      <c r="C41" s="45"/>
      <c r="D41" s="45"/>
      <c r="E41" s="45"/>
      <c r="F41" s="45"/>
      <c r="G41" s="45"/>
      <c r="H41" s="45"/>
      <c r="I41" s="45"/>
      <c r="J41" s="45"/>
      <c r="K41" s="45"/>
      <c r="L41" s="45"/>
      <c r="M41" s="45"/>
      <c r="N41" s="45"/>
      <c r="O41" s="45"/>
      <c r="P41" s="45"/>
      <c r="Q41" s="45"/>
      <c r="R41" s="45"/>
      <c r="S41" s="45"/>
      <c r="T41" s="45"/>
      <c r="U41" s="45"/>
      <c r="V41" s="668"/>
      <c r="W41" s="668"/>
      <c r="X41" s="37"/>
      <c r="Y41" s="37"/>
      <c r="Z41" s="37"/>
      <c r="AA41" s="37"/>
      <c r="AB41" s="37"/>
      <c r="AC41" s="37"/>
      <c r="AD41" s="37"/>
      <c r="AE41" s="37"/>
      <c r="AF41" s="37"/>
      <c r="AG41" s="37"/>
      <c r="AH41" s="37"/>
      <c r="AI41" s="37"/>
      <c r="AJ41" s="37"/>
      <c r="AK41" s="37"/>
    </row>
    <row r="42" spans="1:45" s="661" customFormat="1" ht="24" customHeight="1">
      <c r="A42" s="660"/>
      <c r="B42" s="684" t="s">
        <v>791</v>
      </c>
      <c r="C42" s="684"/>
      <c r="D42" s="684"/>
      <c r="E42" s="684"/>
      <c r="F42" s="687"/>
      <c r="H42" s="1100">
        <f>Control!B5</f>
        <v>42277</v>
      </c>
      <c r="I42" s="1100"/>
      <c r="J42" s="1100"/>
      <c r="K42" s="1100"/>
      <c r="L42" s="1100"/>
      <c r="M42" s="1100"/>
      <c r="N42" s="1100"/>
      <c r="O42" s="660"/>
      <c r="P42" s="660"/>
      <c r="Q42" s="660"/>
      <c r="R42" s="660"/>
      <c r="S42" s="660"/>
      <c r="T42" s="660"/>
      <c r="U42" s="660"/>
      <c r="V42" s="669"/>
      <c r="W42" s="669"/>
      <c r="X42" s="659"/>
      <c r="Y42" s="659"/>
      <c r="Z42" s="659"/>
      <c r="AA42" s="659"/>
      <c r="AB42" s="659"/>
      <c r="AC42" s="659"/>
      <c r="AD42" s="659"/>
      <c r="AE42" s="659"/>
      <c r="AF42" s="659"/>
      <c r="AG42" s="659"/>
      <c r="AH42" s="659"/>
      <c r="AI42" s="659"/>
      <c r="AJ42" s="659"/>
      <c r="AK42" s="659"/>
    </row>
    <row r="43" spans="1:45" s="657" customFormat="1">
      <c r="A43" s="658"/>
      <c r="B43" s="658"/>
      <c r="C43" s="685"/>
      <c r="D43" s="685"/>
      <c r="E43" s="685"/>
      <c r="H43" s="1112" t="s">
        <v>792</v>
      </c>
      <c r="I43" s="1112"/>
      <c r="J43" s="1112"/>
      <c r="K43" s="1112"/>
      <c r="L43" s="1112"/>
      <c r="M43" s="1112"/>
      <c r="N43" s="1112"/>
      <c r="S43" s="658"/>
      <c r="T43" s="658"/>
      <c r="U43" s="658"/>
      <c r="V43" s="670"/>
      <c r="W43" s="670"/>
      <c r="X43" s="656"/>
      <c r="Y43" s="656"/>
      <c r="Z43" s="656"/>
      <c r="AA43" s="656"/>
      <c r="AB43" s="656"/>
      <c r="AC43" s="656"/>
      <c r="AD43" s="656"/>
      <c r="AE43" s="656"/>
      <c r="AF43" s="656"/>
      <c r="AG43" s="656"/>
      <c r="AH43" s="656"/>
      <c r="AI43" s="656"/>
      <c r="AJ43" s="656"/>
      <c r="AK43" s="656"/>
    </row>
    <row r="44" spans="1:45" s="661" customFormat="1" ht="16.5" customHeight="1">
      <c r="A44" s="660"/>
      <c r="B44" s="684" t="s">
        <v>793</v>
      </c>
      <c r="C44" s="684"/>
      <c r="D44" s="684"/>
      <c r="E44" s="684"/>
      <c r="F44" s="687"/>
      <c r="H44" s="1116">
        <f>Control!B4</f>
        <v>42309</v>
      </c>
      <c r="I44" s="1116"/>
      <c r="J44" s="1116"/>
      <c r="K44" s="1116"/>
      <c r="L44" s="1116"/>
      <c r="M44" s="1116"/>
      <c r="N44" s="1116"/>
      <c r="S44" s="663"/>
      <c r="T44" s="663"/>
      <c r="U44" s="660"/>
      <c r="V44" s="669"/>
      <c r="W44" s="669"/>
      <c r="X44" s="659"/>
      <c r="Y44" s="659"/>
      <c r="Z44" s="659"/>
      <c r="AA44" s="659"/>
      <c r="AB44" s="659"/>
      <c r="AC44" s="659"/>
      <c r="AD44" s="659"/>
      <c r="AE44" s="659"/>
      <c r="AF44" s="659"/>
      <c r="AG44" s="659"/>
      <c r="AH44" s="659"/>
      <c r="AI44" s="659"/>
      <c r="AJ44" s="659"/>
      <c r="AK44" s="659"/>
    </row>
    <row r="45" spans="1:45" s="657" customFormat="1">
      <c r="A45" s="658"/>
      <c r="B45" s="658"/>
      <c r="C45" s="685"/>
      <c r="D45" s="685"/>
      <c r="E45" s="685"/>
      <c r="H45" s="1112" t="s">
        <v>792</v>
      </c>
      <c r="I45" s="1112"/>
      <c r="J45" s="1112"/>
      <c r="K45" s="1112"/>
      <c r="L45" s="1112"/>
      <c r="M45" s="1112"/>
      <c r="N45" s="1112"/>
      <c r="S45" s="658"/>
      <c r="T45" s="658"/>
      <c r="U45" s="658"/>
      <c r="V45" s="670"/>
      <c r="W45" s="670"/>
      <c r="X45" s="656"/>
      <c r="Y45" s="656"/>
      <c r="Z45" s="656"/>
      <c r="AA45" s="656"/>
      <c r="AB45" s="656"/>
      <c r="AC45" s="656"/>
      <c r="AD45" s="656"/>
      <c r="AE45" s="656"/>
      <c r="AF45" s="656"/>
      <c r="AG45" s="656"/>
      <c r="AH45" s="656"/>
      <c r="AI45" s="656"/>
      <c r="AJ45" s="656"/>
      <c r="AK45" s="656"/>
    </row>
    <row r="46" spans="1:45" s="661" customFormat="1" ht="16.5" customHeight="1">
      <c r="A46" s="660"/>
      <c r="B46" s="684" t="s">
        <v>794</v>
      </c>
      <c r="C46" s="684"/>
      <c r="D46" s="684"/>
      <c r="E46" s="687"/>
      <c r="F46" s="700"/>
      <c r="G46" s="700"/>
      <c r="H46" s="1104" t="s">
        <v>795</v>
      </c>
      <c r="I46" s="1104"/>
      <c r="J46" s="1104"/>
      <c r="K46" s="1104"/>
      <c r="L46" s="1104"/>
      <c r="M46" s="1104"/>
      <c r="N46" s="1104"/>
      <c r="S46" s="660"/>
      <c r="T46" s="660"/>
      <c r="U46" s="660"/>
      <c r="V46" s="671"/>
      <c r="W46" s="669"/>
      <c r="X46" s="659"/>
      <c r="Y46" s="659"/>
      <c r="Z46" s="659"/>
      <c r="AA46" s="659"/>
      <c r="AB46" s="659"/>
      <c r="AC46" s="659"/>
      <c r="AD46" s="659"/>
      <c r="AE46" s="659"/>
      <c r="AF46" s="659"/>
      <c r="AG46" s="659"/>
      <c r="AH46" s="659"/>
      <c r="AI46" s="659"/>
      <c r="AJ46" s="659"/>
      <c r="AK46" s="659"/>
    </row>
    <row r="47" spans="1:45" s="657" customFormat="1" ht="15" customHeight="1">
      <c r="A47" s="658"/>
      <c r="B47" s="658"/>
      <c r="C47" s="658"/>
      <c r="D47" s="658"/>
      <c r="H47" s="1112" t="s">
        <v>796</v>
      </c>
      <c r="I47" s="1112"/>
      <c r="J47" s="1112"/>
      <c r="K47" s="1112"/>
      <c r="L47" s="1112"/>
      <c r="M47" s="1112"/>
      <c r="N47" s="1112"/>
      <c r="O47" s="658"/>
      <c r="P47" s="658"/>
      <c r="Q47" s="658"/>
      <c r="R47" s="658"/>
      <c r="S47" s="658"/>
      <c r="T47" s="658"/>
      <c r="U47" s="658"/>
      <c r="V47" s="670"/>
      <c r="W47" s="670"/>
      <c r="X47" s="656"/>
      <c r="Y47" s="656"/>
      <c r="Z47" s="656"/>
      <c r="AA47" s="656"/>
      <c r="AB47" s="656"/>
      <c r="AC47" s="656"/>
      <c r="AD47" s="656"/>
      <c r="AE47" s="656"/>
      <c r="AF47" s="656"/>
      <c r="AG47" s="656"/>
      <c r="AH47" s="656"/>
      <c r="AI47" s="656"/>
      <c r="AJ47" s="656"/>
      <c r="AK47" s="656"/>
    </row>
    <row r="48" spans="1:45" s="661" customFormat="1" ht="16.5" customHeight="1">
      <c r="A48" s="660"/>
      <c r="B48" s="684" t="s">
        <v>797</v>
      </c>
      <c r="C48" s="684"/>
      <c r="E48" s="704" t="s">
        <v>798</v>
      </c>
      <c r="F48" s="667"/>
      <c r="G48" s="667"/>
      <c r="H48" s="667"/>
      <c r="I48" s="667"/>
      <c r="J48" s="667"/>
      <c r="K48" s="667"/>
      <c r="L48" s="667"/>
      <c r="M48" s="667"/>
      <c r="N48" s="701"/>
      <c r="O48" s="660"/>
      <c r="P48" s="660"/>
      <c r="Q48" s="660"/>
      <c r="R48" s="660"/>
      <c r="S48" s="660"/>
      <c r="T48" s="660"/>
      <c r="U48" s="660"/>
      <c r="V48" s="669"/>
      <c r="W48" s="669"/>
      <c r="X48" s="659"/>
      <c r="Y48" s="659"/>
      <c r="Z48" s="659"/>
      <c r="AA48" s="659"/>
      <c r="AB48" s="659"/>
      <c r="AC48" s="659"/>
      <c r="AD48" s="659"/>
      <c r="AE48" s="659"/>
      <c r="AF48" s="659"/>
      <c r="AG48" s="659"/>
      <c r="AH48" s="659"/>
      <c r="AI48" s="659"/>
      <c r="AJ48" s="659"/>
      <c r="AK48" s="659"/>
    </row>
    <row r="49" spans="1:37" ht="6" customHeight="1">
      <c r="A49" s="45"/>
      <c r="B49" s="61"/>
      <c r="C49" s="61"/>
      <c r="D49" s="61"/>
      <c r="E49" s="61"/>
      <c r="F49" s="61"/>
      <c r="G49" s="61"/>
      <c r="H49" s="61"/>
      <c r="I49" s="61"/>
      <c r="J49" s="61"/>
      <c r="K49" s="61"/>
      <c r="L49" s="61"/>
      <c r="M49" s="61"/>
      <c r="U49" s="37"/>
      <c r="V49" s="38"/>
      <c r="W49" s="38"/>
      <c r="X49" s="37"/>
      <c r="Y49" s="37"/>
      <c r="Z49" s="37"/>
      <c r="AA49" s="37"/>
      <c r="AB49" s="37"/>
      <c r="AC49" s="37"/>
      <c r="AD49" s="37"/>
      <c r="AE49" s="37"/>
      <c r="AF49" s="37"/>
      <c r="AG49" s="37"/>
      <c r="AH49" s="37"/>
      <c r="AI49" s="37"/>
      <c r="AJ49" s="37"/>
      <c r="AK49" s="37"/>
    </row>
    <row r="50" spans="1:37" s="661" customFormat="1" ht="17.25" customHeight="1">
      <c r="A50" s="660"/>
      <c r="B50" s="684" t="s">
        <v>800</v>
      </c>
      <c r="C50" s="684"/>
      <c r="D50" s="684"/>
      <c r="E50" s="684"/>
      <c r="F50" s="684"/>
      <c r="G50" s="684"/>
      <c r="H50" s="684"/>
      <c r="I50" s="684"/>
      <c r="J50" s="684"/>
      <c r="K50" s="684"/>
      <c r="L50" s="684"/>
      <c r="M50" s="684"/>
      <c r="N50" s="659"/>
      <c r="O50" s="659"/>
      <c r="P50" s="659"/>
      <c r="Q50" s="659"/>
      <c r="R50" s="659"/>
      <c r="S50" s="659"/>
      <c r="T50" s="659"/>
      <c r="U50" s="659"/>
      <c r="V50" s="662"/>
      <c r="W50" s="662"/>
      <c r="X50" s="659"/>
      <c r="Y50" s="659"/>
      <c r="Z50" s="659"/>
      <c r="AA50" s="659"/>
      <c r="AB50" s="659"/>
      <c r="AC50" s="659"/>
      <c r="AD50" s="659"/>
      <c r="AE50" s="659"/>
      <c r="AF50" s="659"/>
      <c r="AG50" s="659"/>
      <c r="AH50" s="659"/>
      <c r="AI50" s="659"/>
      <c r="AJ50" s="659"/>
      <c r="AK50" s="659"/>
    </row>
    <row r="51" spans="1:37" s="661" customFormat="1" ht="13.5" customHeight="1">
      <c r="A51" s="660"/>
      <c r="B51" s="684" t="s">
        <v>801</v>
      </c>
      <c r="C51" s="684"/>
      <c r="E51" s="687"/>
      <c r="F51" s="1104" t="str">
        <f>Control!B8</f>
        <v>2015-00000</v>
      </c>
      <c r="G51" s="1104"/>
      <c r="H51" s="1104"/>
      <c r="I51" s="686" t="s">
        <v>802</v>
      </c>
      <c r="K51" s="1115" t="str">
        <f>IF(Control!B6=0,"",Control!B6)</f>
        <v>N/A</v>
      </c>
      <c r="L51" s="1115"/>
      <c r="M51" s="1115"/>
      <c r="N51" s="1115"/>
      <c r="O51" s="664"/>
      <c r="Q51" s="665"/>
      <c r="U51" s="659"/>
      <c r="V51" s="662"/>
      <c r="W51" s="662"/>
      <c r="X51" s="659"/>
      <c r="Y51" s="659"/>
      <c r="Z51" s="659"/>
      <c r="AA51" s="659"/>
      <c r="AB51" s="659"/>
      <c r="AC51" s="659"/>
      <c r="AD51" s="659"/>
      <c r="AE51" s="659"/>
      <c r="AF51" s="659"/>
      <c r="AG51" s="659"/>
      <c r="AH51" s="659"/>
      <c r="AI51" s="659"/>
      <c r="AJ51" s="659"/>
      <c r="AK51" s="659"/>
    </row>
    <row r="53" spans="1:37">
      <c r="B53" s="964"/>
      <c r="C53" s="964"/>
      <c r="D53" s="964"/>
      <c r="E53" s="964"/>
      <c r="F53" s="964"/>
      <c r="G53" s="964"/>
      <c r="H53" s="964"/>
      <c r="I53" s="964"/>
      <c r="J53" s="964"/>
      <c r="K53" s="964"/>
      <c r="L53" s="964"/>
      <c r="M53" s="964"/>
    </row>
    <row r="54" spans="1:37">
      <c r="B54" s="964"/>
      <c r="C54" s="964"/>
      <c r="D54" s="964"/>
      <c r="E54" s="964"/>
      <c r="F54" s="964"/>
      <c r="G54" s="964"/>
      <c r="H54" s="964"/>
      <c r="I54" s="964"/>
      <c r="J54" s="964"/>
      <c r="K54" s="964"/>
      <c r="L54" s="964"/>
      <c r="M54" s="964"/>
    </row>
  </sheetData>
  <mergeCells count="12">
    <mergeCell ref="K51:N51"/>
    <mergeCell ref="F51:H51"/>
    <mergeCell ref="B4:L4"/>
    <mergeCell ref="B5:K5"/>
    <mergeCell ref="B8:V8"/>
    <mergeCell ref="B9:V9"/>
    <mergeCell ref="H42:N42"/>
    <mergeCell ref="H43:N43"/>
    <mergeCell ref="H44:N44"/>
    <mergeCell ref="H46:N46"/>
    <mergeCell ref="H47:N47"/>
    <mergeCell ref="H45:N45"/>
  </mergeCells>
  <pageMargins left="0.51" right="0.18" top="0.48" bottom="0.26" header="0.28999999999999998" footer="0.18"/>
  <pageSetup orientation="portrait" r:id="rId1"/>
  <headerFooter alignWithMargins="0"/>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63"/>
  <sheetViews>
    <sheetView zoomScale="115" zoomScaleNormal="115" workbookViewId="0">
      <pane xSplit="6" ySplit="8" topLeftCell="G9" activePane="bottomRight" state="frozen"/>
      <selection activeCell="E33" sqref="E33"/>
      <selection pane="topRight" activeCell="E33" sqref="E33"/>
      <selection pane="bottomLeft" activeCell="E33" sqref="E33"/>
      <selection pane="bottomRight" activeCell="I18" sqref="I18"/>
    </sheetView>
  </sheetViews>
  <sheetFormatPr defaultColWidth="9.140625" defaultRowHeight="12.75"/>
  <cols>
    <col min="1" max="1" width="6.42578125" style="1" customWidth="1"/>
    <col min="2" max="2" width="11.7109375" style="1" customWidth="1"/>
    <col min="3" max="3" width="9.140625" style="1"/>
    <col min="4" max="4" width="20.7109375" style="1" customWidth="1"/>
    <col min="5" max="5" width="10.5703125" style="1" customWidth="1"/>
    <col min="6" max="6" width="1.7109375" style="1" customWidth="1"/>
    <col min="7" max="7" width="10.5703125" style="1" customWidth="1"/>
    <col min="8" max="8" width="1.7109375" style="1" customWidth="1"/>
    <col min="9" max="9" width="10.5703125" style="1" bestFit="1" customWidth="1"/>
    <col min="10" max="10" width="1.7109375" style="1" customWidth="1"/>
    <col min="11" max="11" width="10.42578125" style="1" bestFit="1" customWidth="1"/>
    <col min="12" max="12" width="7.7109375" style="1" bestFit="1" customWidth="1"/>
    <col min="13" max="13" width="9.5703125" style="1" bestFit="1" customWidth="1"/>
    <col min="14" max="16384" width="9.140625" style="1"/>
  </cols>
  <sheetData>
    <row r="1" spans="1:16">
      <c r="A1" s="31" t="s">
        <v>51</v>
      </c>
      <c r="K1" s="33" t="s">
        <v>50</v>
      </c>
    </row>
    <row r="2" spans="1:16">
      <c r="A2" s="1" t="s">
        <v>49</v>
      </c>
      <c r="K2" s="33" t="s">
        <v>48</v>
      </c>
    </row>
    <row r="3" spans="1:16">
      <c r="A3" s="1" t="s">
        <v>47</v>
      </c>
    </row>
    <row r="5" spans="1:16">
      <c r="G5" s="4" t="s">
        <v>46</v>
      </c>
      <c r="I5" s="4" t="s">
        <v>45</v>
      </c>
      <c r="K5" s="4" t="s">
        <v>44</v>
      </c>
    </row>
    <row r="6" spans="1:16">
      <c r="A6" s="32" t="s">
        <v>43</v>
      </c>
      <c r="B6" s="31"/>
      <c r="C6" s="31"/>
      <c r="D6" s="31"/>
      <c r="E6" s="31"/>
      <c r="F6" s="31"/>
      <c r="G6" s="1126" t="s">
        <v>19</v>
      </c>
      <c r="H6" s="1126"/>
      <c r="I6" s="1126"/>
      <c r="J6" s="31"/>
      <c r="K6" s="31"/>
    </row>
    <row r="7" spans="1:16">
      <c r="A7" s="30" t="s">
        <v>42</v>
      </c>
      <c r="B7" s="27" t="s">
        <v>41</v>
      </c>
      <c r="C7" s="27"/>
      <c r="D7" s="27"/>
      <c r="E7" s="27"/>
      <c r="F7" s="27"/>
      <c r="G7" s="29" t="str">
        <f>Control!C8</f>
        <v>2015-00220</v>
      </c>
      <c r="H7" s="35"/>
      <c r="I7" s="28" t="str">
        <f>Control!B8</f>
        <v>2015-00000</v>
      </c>
      <c r="J7" s="27"/>
      <c r="K7" s="27" t="s">
        <v>39</v>
      </c>
    </row>
    <row r="8" spans="1:16">
      <c r="G8" s="26" t="s">
        <v>38</v>
      </c>
      <c r="I8" s="4" t="s">
        <v>38</v>
      </c>
      <c r="K8" s="4" t="s">
        <v>38</v>
      </c>
    </row>
    <row r="9" spans="1:16">
      <c r="A9" s="5">
        <v>1</v>
      </c>
      <c r="B9" s="24" t="s">
        <v>37</v>
      </c>
      <c r="G9" s="2"/>
    </row>
    <row r="10" spans="1:16">
      <c r="A10" s="5">
        <v>2</v>
      </c>
      <c r="G10" s="2"/>
    </row>
    <row r="11" spans="1:16">
      <c r="A11" s="5">
        <v>3</v>
      </c>
      <c r="B11" s="23" t="s">
        <v>1030</v>
      </c>
      <c r="G11" s="2"/>
    </row>
    <row r="12" spans="1:16">
      <c r="A12" s="5">
        <v>4</v>
      </c>
      <c r="B12" s="15" t="s">
        <v>24</v>
      </c>
      <c r="C12" s="5">
        <v>300</v>
      </c>
      <c r="D12" s="1" t="s">
        <v>22</v>
      </c>
      <c r="G12" s="980">
        <f>A.2!G12</f>
        <v>1.3180000000000001</v>
      </c>
      <c r="H12" s="840"/>
      <c r="I12" s="963">
        <f>A.2!I12</f>
        <v>1.3180000000000001</v>
      </c>
      <c r="K12" s="14">
        <f>I12-G12</f>
        <v>0</v>
      </c>
    </row>
    <row r="13" spans="1:16">
      <c r="A13" s="5">
        <v>5</v>
      </c>
      <c r="B13" s="15" t="s">
        <v>36</v>
      </c>
      <c r="C13" s="5">
        <v>14700</v>
      </c>
      <c r="D13" s="1" t="s">
        <v>22</v>
      </c>
      <c r="G13" s="980">
        <f>A.2!G13</f>
        <v>0.88</v>
      </c>
      <c r="H13" s="840"/>
      <c r="I13" s="963">
        <f>A.2!I13</f>
        <v>0.88</v>
      </c>
      <c r="K13" s="14">
        <f>I13-G13</f>
        <v>0</v>
      </c>
    </row>
    <row r="14" spans="1:16">
      <c r="A14" s="5">
        <v>6</v>
      </c>
      <c r="B14" s="15" t="s">
        <v>23</v>
      </c>
      <c r="C14" s="5">
        <v>15000</v>
      </c>
      <c r="D14" s="1" t="s">
        <v>22</v>
      </c>
      <c r="G14" s="980">
        <f>A.2!G14</f>
        <v>0.62</v>
      </c>
      <c r="H14" s="840"/>
      <c r="I14" s="963">
        <f>A.2!I14</f>
        <v>0.62</v>
      </c>
      <c r="K14" s="14">
        <f>I14-G14</f>
        <v>0</v>
      </c>
    </row>
    <row r="15" spans="1:16">
      <c r="A15" s="5">
        <v>7</v>
      </c>
      <c r="G15" s="22"/>
    </row>
    <row r="16" spans="1:16">
      <c r="A16" s="5">
        <v>8</v>
      </c>
      <c r="B16" s="16" t="s">
        <v>34</v>
      </c>
      <c r="G16" s="22"/>
      <c r="P16" s="1" t="s">
        <v>1025</v>
      </c>
    </row>
    <row r="17" spans="1:16">
      <c r="A17" s="5">
        <v>9</v>
      </c>
      <c r="B17" s="19" t="s">
        <v>33</v>
      </c>
      <c r="G17" s="22"/>
    </row>
    <row r="18" spans="1:16" ht="15">
      <c r="A18" s="5">
        <v>10</v>
      </c>
      <c r="B18" s="21" t="s">
        <v>32</v>
      </c>
      <c r="G18" s="842">
        <v>3.2381000000000002</v>
      </c>
      <c r="H18" s="14"/>
      <c r="I18" s="14">
        <f>ROUND(B.7!$G$45,4)</f>
        <v>3.2747999999999999</v>
      </c>
      <c r="J18" s="14"/>
      <c r="K18" s="14">
        <f t="shared" ref="K18:K24" si="0">I18-G18</f>
        <v>3.6699999999999733E-2</v>
      </c>
      <c r="L18" s="714"/>
      <c r="M18" s="715"/>
    </row>
    <row r="19" spans="1:16" ht="15">
      <c r="A19" s="5">
        <v>11</v>
      </c>
      <c r="B19" s="21" t="s">
        <v>31</v>
      </c>
      <c r="G19" s="843">
        <v>1.5599000000000001</v>
      </c>
      <c r="H19" s="25"/>
      <c r="I19" s="25">
        <f>ROUND(B.6!$H$19,4)</f>
        <v>1.5599000000000001</v>
      </c>
      <c r="J19" s="25"/>
      <c r="K19" s="25">
        <f t="shared" si="0"/>
        <v>0</v>
      </c>
      <c r="L19" s="714"/>
      <c r="M19" s="715"/>
      <c r="P19" s="709"/>
    </row>
    <row r="20" spans="1:16" ht="15">
      <c r="A20" s="5">
        <v>12</v>
      </c>
      <c r="B20" s="19" t="s">
        <v>30</v>
      </c>
      <c r="G20" s="962">
        <f>G18+G19</f>
        <v>4.798</v>
      </c>
      <c r="H20" s="14"/>
      <c r="I20" s="14">
        <f>SUM(I18:I19)</f>
        <v>4.8346999999999998</v>
      </c>
      <c r="J20" s="14"/>
      <c r="K20" s="14">
        <f t="shared" si="0"/>
        <v>3.6699999999999733E-2</v>
      </c>
      <c r="L20" s="714"/>
      <c r="M20" s="718"/>
    </row>
    <row r="21" spans="1:16" ht="15">
      <c r="A21" s="5">
        <v>13</v>
      </c>
      <c r="B21" s="19" t="s">
        <v>29</v>
      </c>
      <c r="G21" s="841">
        <v>-0.72740000000000005</v>
      </c>
      <c r="H21" s="14"/>
      <c r="I21" s="20">
        <f>ROUND(D.1!$G$43,4)</f>
        <v>-0.6492</v>
      </c>
      <c r="J21" s="14"/>
      <c r="K21" s="14">
        <f t="shared" si="0"/>
        <v>7.8200000000000047E-2</v>
      </c>
      <c r="L21" s="714"/>
      <c r="M21" s="718"/>
    </row>
    <row r="22" spans="1:16" ht="15">
      <c r="A22" s="5">
        <v>14</v>
      </c>
      <c r="B22" s="19" t="s">
        <v>28</v>
      </c>
      <c r="G22" s="841">
        <v>0</v>
      </c>
      <c r="H22" s="14"/>
      <c r="I22" s="20">
        <f>ROUND(G62,4)</f>
        <v>0</v>
      </c>
      <c r="J22" s="14"/>
      <c r="K22" s="14">
        <f t="shared" si="0"/>
        <v>0</v>
      </c>
      <c r="L22" s="714"/>
      <c r="M22" s="718"/>
    </row>
    <row r="23" spans="1:16" ht="15">
      <c r="A23" s="5">
        <v>15</v>
      </c>
      <c r="B23" s="19" t="s">
        <v>27</v>
      </c>
      <c r="G23" s="844">
        <v>0.1527</v>
      </c>
      <c r="H23" s="14"/>
      <c r="I23" s="18">
        <f>PBR!FirmRefFactor</f>
        <v>0.15266676071712265</v>
      </c>
      <c r="J23" s="14"/>
      <c r="K23" s="17">
        <f t="shared" si="0"/>
        <v>-3.3239282877350895E-5</v>
      </c>
      <c r="L23" s="714"/>
      <c r="M23" s="718"/>
    </row>
    <row r="24" spans="1:16" ht="15">
      <c r="A24" s="5">
        <v>16</v>
      </c>
      <c r="B24" s="15" t="s">
        <v>26</v>
      </c>
      <c r="G24" s="962">
        <f>G20+G21+G22+G23</f>
        <v>4.2233000000000001</v>
      </c>
      <c r="H24" s="14"/>
      <c r="I24" s="14">
        <f>SUM(I20:I23)</f>
        <v>4.3381667607171224</v>
      </c>
      <c r="J24" s="14"/>
      <c r="K24" s="14">
        <f t="shared" si="0"/>
        <v>0.11486676071712232</v>
      </c>
      <c r="L24" s="714"/>
      <c r="M24" s="718"/>
    </row>
    <row r="25" spans="1:16">
      <c r="A25" s="5">
        <v>17</v>
      </c>
      <c r="G25" s="842"/>
      <c r="H25" s="14"/>
      <c r="I25" s="14"/>
      <c r="J25" s="14"/>
      <c r="K25" s="14"/>
    </row>
    <row r="26" spans="1:16">
      <c r="A26" s="5">
        <v>18</v>
      </c>
      <c r="B26" s="16" t="s">
        <v>25</v>
      </c>
      <c r="G26" s="842"/>
      <c r="H26" s="14"/>
      <c r="I26" s="14"/>
      <c r="J26" s="14"/>
      <c r="K26" s="14"/>
    </row>
    <row r="27" spans="1:16">
      <c r="A27" s="5">
        <v>19</v>
      </c>
      <c r="B27" s="15" t="s">
        <v>24</v>
      </c>
      <c r="C27" s="5">
        <v>300</v>
      </c>
      <c r="D27" s="1" t="s">
        <v>22</v>
      </c>
      <c r="G27" s="962">
        <f>G12+$G$24</f>
        <v>5.5412999999999997</v>
      </c>
      <c r="H27" s="14"/>
      <c r="I27" s="14">
        <f>I12+I24</f>
        <v>5.656166760717122</v>
      </c>
      <c r="J27" s="14"/>
      <c r="K27" s="14">
        <f>I27-G27</f>
        <v>0.11486676071712232</v>
      </c>
    </row>
    <row r="28" spans="1:16">
      <c r="A28" s="5">
        <v>20</v>
      </c>
      <c r="B28" s="15" t="s">
        <v>36</v>
      </c>
      <c r="C28" s="5">
        <v>14700</v>
      </c>
      <c r="D28" s="1" t="s">
        <v>22</v>
      </c>
      <c r="G28" s="962">
        <f t="shared" ref="G28:G29" si="1">G13+$G$24</f>
        <v>5.1032999999999999</v>
      </c>
      <c r="H28" s="14"/>
      <c r="I28" s="14">
        <f>+I13+I24</f>
        <v>5.2181667607171223</v>
      </c>
      <c r="J28" s="14"/>
      <c r="K28" s="14">
        <f>I28-G28</f>
        <v>0.11486676071712232</v>
      </c>
    </row>
    <row r="29" spans="1:16">
      <c r="A29" s="5">
        <v>21</v>
      </c>
      <c r="B29" s="15" t="s">
        <v>23</v>
      </c>
      <c r="C29" s="5">
        <v>15000</v>
      </c>
      <c r="D29" s="1" t="s">
        <v>22</v>
      </c>
      <c r="G29" s="962">
        <f t="shared" si="1"/>
        <v>4.8433000000000002</v>
      </c>
      <c r="H29" s="14"/>
      <c r="I29" s="14">
        <f>+I14+I24</f>
        <v>4.9581667607171225</v>
      </c>
      <c r="J29" s="14"/>
      <c r="K29" s="14">
        <f>I29-G29</f>
        <v>0.11486676071712232</v>
      </c>
    </row>
    <row r="30" spans="1:16">
      <c r="A30" s="5">
        <v>22</v>
      </c>
      <c r="G30" s="845"/>
    </row>
    <row r="31" spans="1:16">
      <c r="A31" s="5">
        <v>23</v>
      </c>
      <c r="G31" s="845"/>
    </row>
    <row r="32" spans="1:16">
      <c r="A32" s="5">
        <v>24</v>
      </c>
      <c r="B32" s="24" t="s">
        <v>35</v>
      </c>
      <c r="G32" s="845"/>
    </row>
    <row r="33" spans="1:12">
      <c r="A33" s="5">
        <v>25</v>
      </c>
      <c r="G33" s="845"/>
    </row>
    <row r="34" spans="1:12">
      <c r="A34" s="5">
        <v>26</v>
      </c>
      <c r="B34" s="23" t="s">
        <v>1030</v>
      </c>
      <c r="G34" s="845"/>
    </row>
    <row r="35" spans="1:12">
      <c r="A35" s="5">
        <v>27</v>
      </c>
      <c r="B35" s="15" t="s">
        <v>24</v>
      </c>
      <c r="C35" s="5">
        <v>15000</v>
      </c>
      <c r="D35" s="1" t="s">
        <v>22</v>
      </c>
      <c r="G35" s="980">
        <f>A.2!G20</f>
        <v>0.79</v>
      </c>
      <c r="I35" s="963">
        <f>A.2!I20</f>
        <v>0.79</v>
      </c>
      <c r="K35" s="14">
        <f>I35-G35</f>
        <v>0</v>
      </c>
    </row>
    <row r="36" spans="1:12">
      <c r="A36" s="5">
        <v>28</v>
      </c>
      <c r="B36" s="15" t="s">
        <v>23</v>
      </c>
      <c r="C36" s="5">
        <v>15000</v>
      </c>
      <c r="D36" s="1" t="s">
        <v>22</v>
      </c>
      <c r="G36" s="980">
        <f>A.2!G21</f>
        <v>0.53</v>
      </c>
      <c r="I36" s="963">
        <f>A.2!I21</f>
        <v>0.53</v>
      </c>
      <c r="K36" s="14">
        <f>I36-G36</f>
        <v>0</v>
      </c>
    </row>
    <row r="37" spans="1:12">
      <c r="A37" s="5">
        <v>29</v>
      </c>
      <c r="G37" s="845"/>
    </row>
    <row r="38" spans="1:12">
      <c r="A38" s="5">
        <v>30</v>
      </c>
      <c r="B38" s="16" t="s">
        <v>34</v>
      </c>
      <c r="G38" s="845"/>
    </row>
    <row r="39" spans="1:12">
      <c r="A39" s="5">
        <v>31</v>
      </c>
      <c r="B39" s="19" t="s">
        <v>33</v>
      </c>
      <c r="G39" s="845"/>
    </row>
    <row r="40" spans="1:12">
      <c r="A40" s="5">
        <v>32</v>
      </c>
      <c r="B40" s="21" t="s">
        <v>32</v>
      </c>
      <c r="G40" s="842">
        <v>3.2381000000000002</v>
      </c>
      <c r="H40" s="14"/>
      <c r="I40" s="14">
        <f>I18</f>
        <v>3.2747999999999999</v>
      </c>
      <c r="J40" s="14"/>
      <c r="K40" s="14">
        <f t="shared" ref="K40:K46" si="2">I40-G40</f>
        <v>3.6699999999999733E-2</v>
      </c>
    </row>
    <row r="41" spans="1:12">
      <c r="A41" s="5">
        <v>33</v>
      </c>
      <c r="B41" s="21" t="s">
        <v>31</v>
      </c>
      <c r="G41" s="843">
        <v>0.23899999999999999</v>
      </c>
      <c r="H41" s="17"/>
      <c r="I41" s="17">
        <f>ROUND(B.6!$I$19,4)</f>
        <v>0.23899999999999999</v>
      </c>
      <c r="J41" s="17"/>
      <c r="K41" s="17">
        <f t="shared" si="2"/>
        <v>0</v>
      </c>
    </row>
    <row r="42" spans="1:12">
      <c r="A42" s="5">
        <v>34</v>
      </c>
      <c r="B42" s="19" t="s">
        <v>30</v>
      </c>
      <c r="G42" s="962">
        <f>G40+G41</f>
        <v>3.4771000000000001</v>
      </c>
      <c r="H42" s="14"/>
      <c r="I42" s="14">
        <f>SUM(I40:I41)</f>
        <v>3.5137999999999998</v>
      </c>
      <c r="J42" s="14"/>
      <c r="K42" s="14">
        <f t="shared" si="2"/>
        <v>3.6699999999999733E-2</v>
      </c>
    </row>
    <row r="43" spans="1:12">
      <c r="A43" s="5">
        <v>35</v>
      </c>
      <c r="B43" s="19" t="s">
        <v>29</v>
      </c>
      <c r="G43" s="841">
        <v>-0.72740000000000005</v>
      </c>
      <c r="H43" s="14"/>
      <c r="I43" s="20">
        <f>ROUND(D.1!$G$43,4)</f>
        <v>-0.6492</v>
      </c>
      <c r="J43" s="14"/>
      <c r="K43" s="14">
        <f t="shared" si="2"/>
        <v>7.8200000000000047E-2</v>
      </c>
    </row>
    <row r="44" spans="1:12">
      <c r="A44" s="5">
        <v>36</v>
      </c>
      <c r="B44" s="19" t="s">
        <v>28</v>
      </c>
      <c r="G44" s="842">
        <v>0</v>
      </c>
      <c r="H44" s="14"/>
      <c r="I44" s="14">
        <f>G62</f>
        <v>0</v>
      </c>
      <c r="J44" s="14"/>
      <c r="K44" s="14">
        <f t="shared" si="2"/>
        <v>0</v>
      </c>
    </row>
    <row r="45" spans="1:12">
      <c r="A45" s="5">
        <v>37</v>
      </c>
      <c r="B45" s="19" t="s">
        <v>27</v>
      </c>
      <c r="G45" s="844">
        <v>0.1527</v>
      </c>
      <c r="H45" s="14"/>
      <c r="I45" s="18">
        <f>PBR!InterRefFactor</f>
        <v>0.15266676071712265</v>
      </c>
      <c r="J45" s="14"/>
      <c r="K45" s="17">
        <f t="shared" si="2"/>
        <v>-3.3239282877350895E-5</v>
      </c>
    </row>
    <row r="46" spans="1:12">
      <c r="A46" s="5">
        <v>38</v>
      </c>
      <c r="B46" s="15" t="s">
        <v>26</v>
      </c>
      <c r="G46" s="962">
        <f>+G42+G43+G44+G45</f>
        <v>2.9023999999999996</v>
      </c>
      <c r="H46" s="14"/>
      <c r="I46" s="14">
        <f>SUM(I42:I45)</f>
        <v>3.0172667607171224</v>
      </c>
      <c r="J46" s="14"/>
      <c r="K46" s="14">
        <f t="shared" si="2"/>
        <v>0.11486676071712276</v>
      </c>
      <c r="L46" s="633"/>
    </row>
    <row r="47" spans="1:12">
      <c r="A47" s="5">
        <v>39</v>
      </c>
      <c r="G47" s="842"/>
      <c r="H47" s="14"/>
      <c r="I47" s="14"/>
      <c r="J47" s="14"/>
      <c r="K47" s="14"/>
    </row>
    <row r="48" spans="1:12">
      <c r="A48" s="5">
        <v>40</v>
      </c>
      <c r="B48" s="16" t="s">
        <v>25</v>
      </c>
      <c r="G48" s="842"/>
      <c r="H48" s="14"/>
      <c r="I48" s="14"/>
      <c r="J48" s="14"/>
      <c r="K48" s="14"/>
    </row>
    <row r="49" spans="1:12">
      <c r="A49" s="5">
        <v>41</v>
      </c>
      <c r="B49" s="15" t="s">
        <v>24</v>
      </c>
      <c r="C49" s="5">
        <v>300</v>
      </c>
      <c r="D49" s="1" t="s">
        <v>22</v>
      </c>
      <c r="G49" s="962">
        <f>+G35+$G$46</f>
        <v>3.6923999999999997</v>
      </c>
      <c r="H49" s="14"/>
      <c r="I49" s="14">
        <f>I35+I46</f>
        <v>3.8072667607171224</v>
      </c>
      <c r="J49" s="14"/>
      <c r="K49" s="14">
        <f>I49-G49</f>
        <v>0.11486676071712276</v>
      </c>
    </row>
    <row r="50" spans="1:12">
      <c r="A50" s="5">
        <v>42</v>
      </c>
      <c r="B50" s="15" t="s">
        <v>23</v>
      </c>
      <c r="C50" s="5">
        <v>14700</v>
      </c>
      <c r="D50" s="1" t="s">
        <v>22</v>
      </c>
      <c r="G50" s="962">
        <f>+G36+$G$46</f>
        <v>3.4323999999999995</v>
      </c>
      <c r="H50" s="14"/>
      <c r="I50" s="14">
        <f>+I36+I46</f>
        <v>3.5472667607171227</v>
      </c>
      <c r="J50" s="14"/>
      <c r="K50" s="14">
        <f>I50-G50</f>
        <v>0.11486676071712321</v>
      </c>
    </row>
    <row r="51" spans="1:12">
      <c r="A51" s="5">
        <v>43</v>
      </c>
      <c r="G51" s="840"/>
    </row>
    <row r="52" spans="1:12">
      <c r="A52" s="5">
        <v>44</v>
      </c>
    </row>
    <row r="53" spans="1:12">
      <c r="A53" s="5">
        <v>45</v>
      </c>
      <c r="B53" s="13" t="s">
        <v>21</v>
      </c>
    </row>
    <row r="54" spans="1:12">
      <c r="A54" s="5">
        <v>47</v>
      </c>
      <c r="E54" s="3" t="s">
        <v>20</v>
      </c>
      <c r="H54" s="12"/>
      <c r="I54" s="12"/>
      <c r="J54" s="12"/>
      <c r="K54" s="12"/>
    </row>
    <row r="55" spans="1:12">
      <c r="A55" s="5">
        <v>48</v>
      </c>
      <c r="D55" s="2" t="s">
        <v>19</v>
      </c>
      <c r="E55" s="11" t="s">
        <v>18</v>
      </c>
      <c r="F55" s="2"/>
      <c r="G55" s="11" t="s">
        <v>17</v>
      </c>
    </row>
    <row r="56" spans="1:12">
      <c r="A56" s="5">
        <v>49</v>
      </c>
      <c r="D56" s="2"/>
      <c r="E56" s="2"/>
      <c r="F56" s="2"/>
      <c r="G56" s="2"/>
      <c r="H56" s="10"/>
    </row>
    <row r="57" spans="1:12">
      <c r="A57" s="5">
        <v>50</v>
      </c>
      <c r="C57" s="1" t="s">
        <v>16</v>
      </c>
      <c r="D57" s="840" t="s">
        <v>1153</v>
      </c>
      <c r="E57" s="846">
        <v>42095</v>
      </c>
      <c r="F57" s="2"/>
      <c r="G57" s="808">
        <v>0</v>
      </c>
      <c r="H57" s="6"/>
      <c r="K57" s="1" t="s">
        <v>1025</v>
      </c>
    </row>
    <row r="58" spans="1:12">
      <c r="A58" s="5">
        <v>51</v>
      </c>
      <c r="C58" s="1" t="s">
        <v>14</v>
      </c>
      <c r="D58" s="840" t="s">
        <v>1155</v>
      </c>
      <c r="E58" s="847">
        <v>42125</v>
      </c>
      <c r="F58" s="2"/>
      <c r="G58" s="808">
        <v>0</v>
      </c>
      <c r="H58" s="6"/>
      <c r="L58" s="1" t="s">
        <v>1025</v>
      </c>
    </row>
    <row r="59" spans="1:12">
      <c r="A59" s="5">
        <v>52</v>
      </c>
      <c r="C59" s="1" t="s">
        <v>12</v>
      </c>
      <c r="D59" s="840" t="s">
        <v>1166</v>
      </c>
      <c r="E59" s="847">
        <v>42217</v>
      </c>
      <c r="F59" s="2"/>
      <c r="G59" s="808">
        <v>0</v>
      </c>
      <c r="H59" s="6"/>
    </row>
    <row r="60" spans="1:12">
      <c r="A60" s="5">
        <v>53</v>
      </c>
      <c r="C60" s="1" t="s">
        <v>10</v>
      </c>
      <c r="D60" s="711" t="str">
        <f>Control!B8</f>
        <v>2015-00000</v>
      </c>
      <c r="E60" s="9">
        <f>EffectiveDate</f>
        <v>42309</v>
      </c>
      <c r="G60" s="809">
        <v>0</v>
      </c>
      <c r="H60" s="6"/>
    </row>
    <row r="61" spans="1:12">
      <c r="A61" s="5">
        <v>54</v>
      </c>
      <c r="F61" s="2"/>
      <c r="H61" s="6"/>
    </row>
    <row r="62" spans="1:12">
      <c r="A62" s="5">
        <v>55</v>
      </c>
      <c r="B62" s="1" t="s">
        <v>9</v>
      </c>
      <c r="G62" s="7">
        <f>SUM(G57:G61)</f>
        <v>0</v>
      </c>
      <c r="H62" s="6"/>
    </row>
    <row r="63" spans="1:12">
      <c r="A63" s="5"/>
    </row>
  </sheetData>
  <mergeCells count="1">
    <mergeCell ref="G6:I6"/>
  </mergeCells>
  <pageMargins left="0.5" right="0.5" top="0.5" bottom="0.5" header="0.5" footer="0.5"/>
  <pageSetup scale="91" orientation="portrait" r:id="rId1"/>
  <headerFooter alignWithMargins="0"/>
  <customProperties>
    <customPr name="_pios_id" r:id="rId2"/>
  </customProperties>
  <cellWatches>
    <cellWatch r="L24"/>
    <cellWatch r="L46"/>
  </cellWatch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K36"/>
  <sheetViews>
    <sheetView zoomScale="130" zoomScaleNormal="130" workbookViewId="0">
      <selection activeCell="E33" sqref="E33"/>
    </sheetView>
  </sheetViews>
  <sheetFormatPr defaultColWidth="9.140625" defaultRowHeight="12.75"/>
  <cols>
    <col min="1" max="1" width="6.42578125" style="1" customWidth="1"/>
    <col min="2" max="2" width="11.7109375" style="1" customWidth="1"/>
    <col min="3" max="3" width="9.140625" style="1"/>
    <col min="4" max="4" width="20.7109375" style="1" customWidth="1"/>
    <col min="5" max="5" width="10.5703125" style="1" customWidth="1"/>
    <col min="6" max="6" width="1.7109375" style="1" customWidth="1"/>
    <col min="7" max="7" width="10.5703125" style="1" customWidth="1"/>
    <col min="8" max="8" width="1.7109375" style="1" customWidth="1"/>
    <col min="9" max="9" width="10.5703125" style="1" customWidth="1"/>
    <col min="10" max="10" width="1.7109375" style="1" customWidth="1"/>
    <col min="11" max="11" width="10.42578125" style="1" bestFit="1" customWidth="1"/>
    <col min="12" max="16384" width="9.140625" style="1"/>
  </cols>
  <sheetData>
    <row r="1" spans="1:11">
      <c r="A1" s="31" t="s">
        <v>51</v>
      </c>
      <c r="K1" s="33" t="s">
        <v>50</v>
      </c>
    </row>
    <row r="2" spans="1:11">
      <c r="A2" s="1" t="str">
        <f>A.1!A2</f>
        <v>Comparison of Current and Previous Cases</v>
      </c>
      <c r="K2" s="33" t="s">
        <v>55</v>
      </c>
    </row>
    <row r="3" spans="1:11">
      <c r="A3" s="1" t="s">
        <v>54</v>
      </c>
    </row>
    <row r="5" spans="1:11">
      <c r="G5" s="4" t="s">
        <v>46</v>
      </c>
      <c r="I5" s="4" t="s">
        <v>45</v>
      </c>
      <c r="K5" s="4" t="s">
        <v>44</v>
      </c>
    </row>
    <row r="6" spans="1:11">
      <c r="A6" s="32" t="s">
        <v>43</v>
      </c>
      <c r="B6" s="31"/>
      <c r="C6" s="31"/>
      <c r="D6" s="31"/>
      <c r="E6" s="31"/>
      <c r="F6" s="31"/>
      <c r="G6" s="1126" t="s">
        <v>19</v>
      </c>
      <c r="H6" s="1126"/>
      <c r="I6" s="1126"/>
      <c r="J6" s="31"/>
      <c r="K6" s="31"/>
    </row>
    <row r="7" spans="1:11">
      <c r="A7" s="30" t="s">
        <v>42</v>
      </c>
      <c r="B7" s="27" t="s">
        <v>41</v>
      </c>
      <c r="C7" s="27"/>
      <c r="D7" s="27"/>
      <c r="E7" s="27"/>
      <c r="F7" s="27"/>
      <c r="G7" s="34" t="str">
        <f>A.1!G7</f>
        <v>2015-00220</v>
      </c>
      <c r="H7" s="35"/>
      <c r="I7" s="34" t="str">
        <f>A.1!I7</f>
        <v>2015-00000</v>
      </c>
      <c r="J7" s="27"/>
      <c r="K7" s="27" t="s">
        <v>39</v>
      </c>
    </row>
    <row r="8" spans="1:11">
      <c r="G8" s="4" t="s">
        <v>38</v>
      </c>
      <c r="I8" s="4" t="s">
        <v>38</v>
      </c>
      <c r="K8" s="4" t="s">
        <v>38</v>
      </c>
    </row>
    <row r="9" spans="1:11">
      <c r="A9" s="5">
        <v>1</v>
      </c>
      <c r="B9" s="24" t="s">
        <v>53</v>
      </c>
    </row>
    <row r="10" spans="1:11">
      <c r="A10" s="5">
        <v>2</v>
      </c>
      <c r="G10" s="2"/>
      <c r="I10" s="2"/>
    </row>
    <row r="11" spans="1:11">
      <c r="A11" s="5">
        <v>3</v>
      </c>
      <c r="B11" s="23" t="s">
        <v>1034</v>
      </c>
      <c r="G11" s="2"/>
      <c r="I11" s="2"/>
    </row>
    <row r="12" spans="1:11">
      <c r="A12" s="5">
        <v>4</v>
      </c>
      <c r="B12" s="15" t="s">
        <v>24</v>
      </c>
      <c r="C12" s="5">
        <v>300</v>
      </c>
      <c r="D12" s="1" t="s">
        <v>22</v>
      </c>
      <c r="G12" s="839">
        <v>1.3180000000000001</v>
      </c>
      <c r="H12" s="840"/>
      <c r="I12" s="963">
        <v>1.3180000000000001</v>
      </c>
      <c r="K12" s="14">
        <f>I12-G12</f>
        <v>0</v>
      </c>
    </row>
    <row r="13" spans="1:11">
      <c r="A13" s="5">
        <v>5</v>
      </c>
      <c r="B13" s="15" t="s">
        <v>36</v>
      </c>
      <c r="C13" s="5">
        <v>14700</v>
      </c>
      <c r="D13" s="1" t="s">
        <v>22</v>
      </c>
      <c r="G13" s="839">
        <v>0.88</v>
      </c>
      <c r="H13" s="840"/>
      <c r="I13" s="963">
        <v>0.88</v>
      </c>
      <c r="K13" s="14">
        <f>I13-G13</f>
        <v>0</v>
      </c>
    </row>
    <row r="14" spans="1:11">
      <c r="A14" s="5">
        <v>6</v>
      </c>
      <c r="B14" s="15" t="s">
        <v>23</v>
      </c>
      <c r="C14" s="5">
        <v>15000</v>
      </c>
      <c r="D14" s="1" t="s">
        <v>22</v>
      </c>
      <c r="G14" s="839">
        <v>0.62</v>
      </c>
      <c r="I14" s="963">
        <v>0.62</v>
      </c>
      <c r="K14" s="14">
        <f>I14-G14</f>
        <v>0</v>
      </c>
    </row>
    <row r="15" spans="1:11">
      <c r="A15" s="5">
        <v>7</v>
      </c>
      <c r="G15" s="2"/>
      <c r="I15" s="711"/>
    </row>
    <row r="16" spans="1:11">
      <c r="A16" s="5">
        <v>8</v>
      </c>
      <c r="G16" s="2"/>
      <c r="I16" s="711"/>
    </row>
    <row r="17" spans="1:11">
      <c r="A17" s="5">
        <v>9</v>
      </c>
      <c r="B17" s="24" t="s">
        <v>52</v>
      </c>
      <c r="G17" s="2"/>
      <c r="I17" s="711"/>
    </row>
    <row r="18" spans="1:11">
      <c r="A18" s="5">
        <v>10</v>
      </c>
      <c r="G18" s="2"/>
      <c r="I18" s="711"/>
    </row>
    <row r="19" spans="1:11">
      <c r="A19" s="5">
        <v>11</v>
      </c>
      <c r="B19" s="23" t="s">
        <v>1034</v>
      </c>
      <c r="G19" s="2"/>
      <c r="I19" s="711"/>
    </row>
    <row r="20" spans="1:11">
      <c r="A20" s="5">
        <v>12</v>
      </c>
      <c r="B20" s="15" t="s">
        <v>24</v>
      </c>
      <c r="C20" s="5">
        <v>15000</v>
      </c>
      <c r="D20" s="1" t="s">
        <v>22</v>
      </c>
      <c r="G20" s="839">
        <v>0.79</v>
      </c>
      <c r="H20" s="840"/>
      <c r="I20" s="963">
        <v>0.79</v>
      </c>
      <c r="K20" s="14">
        <f>I20-G20</f>
        <v>0</v>
      </c>
    </row>
    <row r="21" spans="1:11">
      <c r="A21" s="5">
        <v>13</v>
      </c>
      <c r="B21" s="15" t="s">
        <v>23</v>
      </c>
      <c r="C21" s="5">
        <v>15000</v>
      </c>
      <c r="D21" s="1" t="s">
        <v>22</v>
      </c>
      <c r="G21" s="839">
        <v>0.53</v>
      </c>
      <c r="H21" s="840"/>
      <c r="I21" s="963">
        <v>0.53</v>
      </c>
      <c r="K21" s="14">
        <f>I21-G21</f>
        <v>0</v>
      </c>
    </row>
    <row r="22" spans="1:11">
      <c r="A22" s="5">
        <v>14</v>
      </c>
      <c r="G22" s="2"/>
      <c r="I22" s="2"/>
    </row>
    <row r="23" spans="1:11">
      <c r="A23" s="5"/>
      <c r="G23" s="2"/>
    </row>
    <row r="24" spans="1:11">
      <c r="A24" s="5"/>
      <c r="B24" s="10"/>
      <c r="C24" s="10"/>
      <c r="D24" s="10"/>
      <c r="E24" s="10"/>
      <c r="F24" s="10"/>
      <c r="G24" s="10"/>
      <c r="H24" s="10"/>
      <c r="I24" s="10"/>
      <c r="J24" s="10"/>
      <c r="K24" s="10"/>
    </row>
    <row r="25" spans="1:11">
      <c r="A25" s="5"/>
      <c r="B25" s="10"/>
      <c r="C25" s="10"/>
      <c r="D25" s="10"/>
      <c r="E25" s="10"/>
      <c r="F25" s="10"/>
      <c r="G25" s="10"/>
      <c r="H25" s="10"/>
      <c r="I25" s="10"/>
      <c r="J25" s="10"/>
      <c r="K25" s="10"/>
    </row>
    <row r="26" spans="1:11">
      <c r="A26" s="5"/>
      <c r="B26" s="10"/>
      <c r="C26" s="10"/>
      <c r="D26" s="10"/>
      <c r="E26" s="10"/>
      <c r="F26" s="10"/>
      <c r="G26" s="10"/>
      <c r="H26" s="10"/>
      <c r="I26" s="10"/>
      <c r="J26" s="10"/>
      <c r="K26" s="10"/>
    </row>
    <row r="27" spans="1:11">
      <c r="A27" s="5"/>
      <c r="B27" s="10"/>
      <c r="C27" s="10"/>
      <c r="D27" s="10"/>
      <c r="E27" s="10"/>
      <c r="F27" s="10"/>
      <c r="G27" s="10"/>
      <c r="H27" s="10"/>
      <c r="I27" s="10"/>
      <c r="J27" s="10"/>
      <c r="K27" s="10"/>
    </row>
    <row r="28" spans="1:11">
      <c r="A28" s="5"/>
      <c r="B28" s="10"/>
      <c r="C28" s="10"/>
      <c r="D28" s="10"/>
      <c r="E28" s="10"/>
      <c r="F28" s="10"/>
      <c r="G28" s="10"/>
      <c r="H28" s="10"/>
      <c r="I28" s="10"/>
      <c r="J28" s="10"/>
      <c r="K28" s="10"/>
    </row>
    <row r="29" spans="1:11">
      <c r="A29" s="5"/>
      <c r="B29" s="10"/>
      <c r="C29" s="10"/>
      <c r="D29" s="10"/>
      <c r="E29" s="10"/>
      <c r="F29" s="10"/>
      <c r="G29" s="10"/>
      <c r="H29" s="10"/>
      <c r="I29" s="10"/>
      <c r="J29" s="10"/>
      <c r="K29" s="10"/>
    </row>
    <row r="30" spans="1:11">
      <c r="A30" s="5"/>
      <c r="B30" s="10"/>
      <c r="C30" s="10"/>
      <c r="D30" s="10"/>
      <c r="E30" s="10"/>
      <c r="F30" s="10"/>
      <c r="G30" s="10"/>
      <c r="H30" s="10"/>
      <c r="I30" s="10"/>
      <c r="J30" s="10"/>
      <c r="K30" s="10"/>
    </row>
    <row r="31" spans="1:11">
      <c r="A31" s="5"/>
      <c r="B31" s="10"/>
      <c r="C31" s="10"/>
      <c r="D31" s="10"/>
      <c r="E31" s="10"/>
      <c r="F31" s="10"/>
      <c r="G31" s="10"/>
      <c r="H31" s="10"/>
      <c r="I31" s="10"/>
      <c r="J31" s="10"/>
      <c r="K31" s="10"/>
    </row>
    <row r="32" spans="1:11">
      <c r="A32" s="5"/>
      <c r="B32" s="10"/>
      <c r="C32" s="10"/>
      <c r="D32" s="10"/>
      <c r="E32" s="10"/>
      <c r="F32" s="10"/>
      <c r="G32" s="10"/>
      <c r="H32" s="10"/>
      <c r="I32" s="10"/>
      <c r="J32" s="10"/>
      <c r="K32" s="10"/>
    </row>
    <row r="33" spans="1:11">
      <c r="A33" s="5"/>
      <c r="B33" s="10"/>
      <c r="C33" s="10"/>
      <c r="D33" s="10"/>
      <c r="E33" s="10"/>
      <c r="F33" s="10"/>
      <c r="G33" s="10"/>
      <c r="H33" s="10"/>
      <c r="I33" s="10"/>
      <c r="J33" s="10"/>
      <c r="K33" s="10"/>
    </row>
    <row r="34" spans="1:11">
      <c r="A34" s="5"/>
      <c r="B34" s="10"/>
      <c r="C34" s="10"/>
      <c r="D34" s="10"/>
      <c r="E34" s="10"/>
      <c r="F34" s="10"/>
      <c r="G34" s="10"/>
      <c r="H34" s="10"/>
      <c r="I34" s="10"/>
      <c r="J34" s="10"/>
      <c r="K34" s="10"/>
    </row>
    <row r="35" spans="1:11">
      <c r="A35" s="5"/>
      <c r="B35" s="10"/>
      <c r="C35" s="10"/>
      <c r="D35" s="10"/>
      <c r="E35" s="10"/>
      <c r="F35" s="10"/>
      <c r="G35" s="10"/>
      <c r="H35" s="10"/>
      <c r="I35" s="10"/>
      <c r="J35" s="10"/>
      <c r="K35" s="10"/>
    </row>
    <row r="36" spans="1:11">
      <c r="A36" s="5"/>
      <c r="B36" s="10"/>
      <c r="C36" s="10"/>
      <c r="D36" s="10"/>
      <c r="E36" s="10"/>
      <c r="F36" s="10"/>
      <c r="G36" s="10"/>
      <c r="H36" s="10"/>
      <c r="I36" s="10"/>
      <c r="J36" s="10"/>
      <c r="K36" s="10"/>
    </row>
  </sheetData>
  <mergeCells count="1">
    <mergeCell ref="G6:I6"/>
  </mergeCells>
  <pageMargins left="0.5" right="0.5" top="0.5" bottom="0.5" header="0.5" footer="0.5"/>
  <pageSetup orientation="portrait" r:id="rId1"/>
  <headerFooter alignWithMargins="0"/>
  <customProperties>
    <customPr name="_pios_id" r:id="rId2"/>
  </customPropertie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N68"/>
  <sheetViews>
    <sheetView zoomScaleNormal="100" workbookViewId="0">
      <pane xSplit="4" ySplit="9" topLeftCell="E10" activePane="bottomRight" state="frozen"/>
      <selection activeCell="E33" sqref="E33"/>
      <selection pane="topRight" activeCell="E33" sqref="E33"/>
      <selection pane="bottomLeft" activeCell="E33" sqref="E33"/>
      <selection pane="bottomRight" activeCell="E11" sqref="E11 F12"/>
    </sheetView>
  </sheetViews>
  <sheetFormatPr defaultColWidth="9.85546875" defaultRowHeight="14.25"/>
  <cols>
    <col min="1" max="1" width="4.85546875" style="133" customWidth="1"/>
    <col min="2" max="2" width="18" style="133" customWidth="1"/>
    <col min="3" max="3" width="10.28515625" style="133" customWidth="1"/>
    <col min="4" max="4" width="17.85546875" style="133" bestFit="1" customWidth="1"/>
    <col min="5" max="5" width="13" style="133" bestFit="1" customWidth="1"/>
    <col min="6" max="6" width="8.7109375" style="133" bestFit="1" customWidth="1"/>
    <col min="7" max="7" width="16.140625" style="133" customWidth="1"/>
    <col min="8" max="8" width="1.85546875" style="133" customWidth="1"/>
    <col min="9" max="9" width="13.28515625" style="133" customWidth="1"/>
    <col min="10" max="10" width="1.85546875" style="133" customWidth="1"/>
    <col min="11" max="11" width="12.140625" style="133" customWidth="1"/>
    <col min="12" max="12" width="9.85546875" style="133" customWidth="1"/>
    <col min="13" max="16384" width="9.85546875" style="133"/>
  </cols>
  <sheetData>
    <row r="1" spans="1:14" ht="15">
      <c r="A1" s="167" t="s">
        <v>51</v>
      </c>
      <c r="B1" s="150"/>
      <c r="C1" s="150"/>
      <c r="D1" s="150"/>
      <c r="E1" s="150"/>
      <c r="F1" s="150"/>
      <c r="G1" s="150"/>
      <c r="H1" s="150"/>
      <c r="I1" s="135" t="s">
        <v>256</v>
      </c>
      <c r="J1" s="135"/>
    </row>
    <row r="2" spans="1:14">
      <c r="A2" s="150" t="s">
        <v>255</v>
      </c>
      <c r="B2" s="150"/>
      <c r="C2" s="150"/>
      <c r="D2" s="150"/>
      <c r="E2" s="150"/>
      <c r="F2" s="150"/>
      <c r="G2" s="150"/>
      <c r="H2" s="150"/>
      <c r="I2" s="135" t="s">
        <v>254</v>
      </c>
      <c r="J2" s="135"/>
    </row>
    <row r="3" spans="1:14">
      <c r="A3" s="166" t="s">
        <v>253</v>
      </c>
      <c r="B3" s="150"/>
      <c r="C3" s="150"/>
      <c r="D3" s="150"/>
      <c r="E3" s="150"/>
      <c r="F3" s="150"/>
      <c r="G3" s="150"/>
      <c r="H3" s="150"/>
      <c r="I3" s="150"/>
      <c r="J3" s="135"/>
    </row>
    <row r="4" spans="1:14">
      <c r="A4" s="135"/>
      <c r="B4" s="135"/>
      <c r="C4" s="135"/>
      <c r="D4" s="135"/>
      <c r="E4" s="135"/>
      <c r="F4" s="165"/>
      <c r="G4" s="135"/>
      <c r="H4" s="135"/>
      <c r="I4" s="135"/>
      <c r="J4" s="135"/>
    </row>
    <row r="5" spans="1:14" ht="15">
      <c r="A5" s="160"/>
      <c r="B5" s="135"/>
      <c r="C5" s="135"/>
      <c r="D5" s="159" t="s">
        <v>46</v>
      </c>
      <c r="E5" s="159" t="s">
        <v>45</v>
      </c>
      <c r="F5" s="159" t="s">
        <v>44</v>
      </c>
      <c r="G5" s="159" t="s">
        <v>252</v>
      </c>
      <c r="H5" s="135"/>
      <c r="I5" s="159" t="s">
        <v>251</v>
      </c>
      <c r="J5" s="135"/>
    </row>
    <row r="6" spans="1:14" ht="15">
      <c r="A6" s="160"/>
      <c r="B6" s="160"/>
      <c r="C6" s="160"/>
      <c r="D6" s="160"/>
      <c r="E6" s="160"/>
      <c r="F6" s="160"/>
      <c r="G6" s="164" t="s">
        <v>250</v>
      </c>
      <c r="H6" s="164"/>
      <c r="I6" s="164"/>
      <c r="J6" s="164"/>
    </row>
    <row r="7" spans="1:14" ht="15">
      <c r="A7" s="163" t="s">
        <v>43</v>
      </c>
      <c r="B7" s="160"/>
      <c r="C7" s="160"/>
      <c r="D7" s="163" t="s">
        <v>0</v>
      </c>
      <c r="E7" s="163" t="s">
        <v>249</v>
      </c>
      <c r="F7" s="160"/>
      <c r="G7" s="160"/>
      <c r="H7" s="160"/>
      <c r="I7" s="160"/>
      <c r="J7" s="160"/>
    </row>
    <row r="8" spans="1:14" ht="15">
      <c r="A8" s="162" t="s">
        <v>42</v>
      </c>
      <c r="B8" s="161" t="s">
        <v>41</v>
      </c>
      <c r="C8" s="161"/>
      <c r="D8" s="162" t="s">
        <v>248</v>
      </c>
      <c r="E8" s="162" t="s">
        <v>247</v>
      </c>
      <c r="F8" s="162" t="s">
        <v>246</v>
      </c>
      <c r="G8" s="162" t="s">
        <v>245</v>
      </c>
      <c r="H8" s="161"/>
      <c r="I8" s="162" t="s">
        <v>31</v>
      </c>
      <c r="J8" s="161"/>
    </row>
    <row r="9" spans="1:14" ht="15">
      <c r="A9" s="135"/>
      <c r="B9" s="160"/>
      <c r="C9" s="135"/>
      <c r="D9" s="135"/>
      <c r="E9" s="159" t="s">
        <v>244</v>
      </c>
      <c r="F9" s="159" t="s">
        <v>243</v>
      </c>
      <c r="G9" s="159" t="s">
        <v>242</v>
      </c>
      <c r="H9" s="135"/>
      <c r="I9" s="159" t="s">
        <v>242</v>
      </c>
      <c r="J9" s="135"/>
      <c r="N9" s="158"/>
    </row>
    <row r="10" spans="1:14" ht="15">
      <c r="A10" s="135">
        <v>1</v>
      </c>
      <c r="B10" s="151" t="s">
        <v>241</v>
      </c>
      <c r="C10" s="135"/>
      <c r="D10" s="135"/>
      <c r="E10" s="135"/>
      <c r="F10" s="135"/>
      <c r="G10" s="141"/>
      <c r="H10" s="135"/>
      <c r="I10" s="141"/>
      <c r="J10" s="135"/>
    </row>
    <row r="11" spans="1:14">
      <c r="A11" s="135">
        <v>2</v>
      </c>
      <c r="B11" s="135" t="s">
        <v>236</v>
      </c>
      <c r="C11" s="159">
        <v>29760</v>
      </c>
      <c r="D11" s="141"/>
      <c r="E11" s="811">
        <v>12340360</v>
      </c>
      <c r="F11" s="157"/>
      <c r="G11" s="141"/>
      <c r="H11" s="135"/>
      <c r="I11" s="141"/>
      <c r="J11" s="135"/>
    </row>
    <row r="12" spans="1:14">
      <c r="A12" s="135">
        <v>3</v>
      </c>
      <c r="B12" s="135" t="s">
        <v>240</v>
      </c>
      <c r="C12" s="159"/>
      <c r="D12" s="146" t="s">
        <v>235</v>
      </c>
      <c r="E12" s="135"/>
      <c r="F12" s="1038">
        <v>0.30880000000000002</v>
      </c>
      <c r="G12" s="141">
        <f>ROUND($E$11*$F12,0)</f>
        <v>3810703</v>
      </c>
      <c r="H12" s="135"/>
      <c r="I12" s="141">
        <f>ROUND($E$11*$F12,0)</f>
        <v>3810703</v>
      </c>
      <c r="J12" s="135"/>
    </row>
    <row r="13" spans="1:14">
      <c r="A13" s="135">
        <v>4</v>
      </c>
      <c r="B13" s="135"/>
      <c r="C13" s="159"/>
      <c r="D13" s="135"/>
      <c r="E13" s="155"/>
      <c r="F13" s="156"/>
      <c r="G13" s="155"/>
      <c r="H13" s="154"/>
      <c r="I13" s="155"/>
      <c r="J13" s="154"/>
    </row>
    <row r="14" spans="1:14">
      <c r="A14" s="135">
        <v>5</v>
      </c>
      <c r="B14" s="133" t="s">
        <v>228</v>
      </c>
      <c r="C14" s="230"/>
      <c r="E14" s="152">
        <f>SUM(E11:E13)</f>
        <v>12340360</v>
      </c>
      <c r="G14" s="152">
        <f>SUM(G11:G13)</f>
        <v>3810703</v>
      </c>
      <c r="I14" s="152">
        <f>SUM(I11:I13)</f>
        <v>3810703</v>
      </c>
    </row>
    <row r="15" spans="1:14">
      <c r="A15" s="135">
        <v>6</v>
      </c>
      <c r="C15" s="230"/>
    </row>
    <row r="16" spans="1:14" ht="15">
      <c r="A16" s="135">
        <v>7</v>
      </c>
      <c r="B16" s="151" t="s">
        <v>239</v>
      </c>
      <c r="C16" s="159"/>
      <c r="D16" s="141"/>
      <c r="E16" s="141"/>
      <c r="F16" s="140"/>
      <c r="G16" s="141"/>
      <c r="H16" s="135"/>
      <c r="I16" s="141"/>
      <c r="J16" s="135"/>
    </row>
    <row r="17" spans="1:12">
      <c r="A17" s="135">
        <v>8</v>
      </c>
      <c r="B17" s="135" t="s">
        <v>236</v>
      </c>
      <c r="C17" s="159">
        <v>29762</v>
      </c>
      <c r="D17" s="141"/>
      <c r="E17" s="811">
        <v>27776588</v>
      </c>
      <c r="F17" s="140"/>
      <c r="G17" s="141"/>
      <c r="H17" s="135"/>
      <c r="I17" s="141"/>
      <c r="J17" s="135"/>
    </row>
    <row r="18" spans="1:12">
      <c r="A18" s="135">
        <v>9</v>
      </c>
      <c r="B18" s="135" t="s">
        <v>232</v>
      </c>
      <c r="C18" s="159"/>
      <c r="D18" s="146" t="s">
        <v>235</v>
      </c>
      <c r="E18" s="141"/>
      <c r="F18" s="1038">
        <v>0.3543</v>
      </c>
      <c r="G18" s="141">
        <f>ROUND($E$17*$F18,0)</f>
        <v>9841245</v>
      </c>
      <c r="H18" s="135"/>
      <c r="I18" s="141">
        <f>ROUND($E$17*$F18,0)</f>
        <v>9841245</v>
      </c>
      <c r="J18" s="135"/>
    </row>
    <row r="19" spans="1:12">
      <c r="A19" s="135">
        <v>10</v>
      </c>
      <c r="B19" s="135"/>
      <c r="C19" s="159"/>
      <c r="D19" s="141"/>
      <c r="E19" s="141"/>
      <c r="F19" s="140"/>
      <c r="G19" s="141"/>
      <c r="H19" s="135"/>
      <c r="I19" s="141"/>
      <c r="J19" s="135"/>
    </row>
    <row r="20" spans="1:12">
      <c r="A20" s="135">
        <v>11</v>
      </c>
      <c r="B20" s="135" t="s">
        <v>234</v>
      </c>
      <c r="C20" s="217">
        <v>29759</v>
      </c>
      <c r="D20" s="141"/>
      <c r="E20" s="811">
        <v>6022500</v>
      </c>
      <c r="F20" s="140"/>
      <c r="G20" s="141"/>
      <c r="H20" s="135"/>
      <c r="I20" s="141"/>
      <c r="J20" s="135"/>
    </row>
    <row r="21" spans="1:12">
      <c r="A21" s="135">
        <v>12</v>
      </c>
      <c r="B21" s="135" t="s">
        <v>232</v>
      </c>
      <c r="C21" s="1036" t="s">
        <v>231</v>
      </c>
      <c r="D21" s="146" t="s">
        <v>230</v>
      </c>
      <c r="E21" s="141"/>
      <c r="F21" s="1038">
        <v>0.29389999999999999</v>
      </c>
      <c r="G21" s="141">
        <f>ROUND($E$20*$F21,0)</f>
        <v>1770013</v>
      </c>
      <c r="H21" s="135"/>
      <c r="I21" s="141">
        <f>ROUND($E$20*$F21,0)</f>
        <v>1770013</v>
      </c>
      <c r="J21" s="135"/>
      <c r="L21" s="145"/>
    </row>
    <row r="22" spans="1:12">
      <c r="A22" s="135">
        <v>13</v>
      </c>
      <c r="C22" s="230"/>
      <c r="E22" s="153"/>
      <c r="F22" s="153"/>
      <c r="G22" s="153"/>
      <c r="H22" s="153"/>
      <c r="I22" s="153"/>
      <c r="J22" s="153"/>
    </row>
    <row r="23" spans="1:12">
      <c r="A23" s="135">
        <v>14</v>
      </c>
      <c r="B23" s="135" t="s">
        <v>234</v>
      </c>
      <c r="C23" s="217">
        <v>34380</v>
      </c>
      <c r="D23" s="141"/>
      <c r="E23" s="811">
        <v>3650000</v>
      </c>
      <c r="F23" s="153"/>
      <c r="G23" s="153"/>
      <c r="H23" s="153"/>
      <c r="I23" s="153"/>
      <c r="J23" s="153"/>
    </row>
    <row r="24" spans="1:12">
      <c r="A24" s="135">
        <v>15</v>
      </c>
      <c r="B24" s="135" t="s">
        <v>232</v>
      </c>
      <c r="C24" s="1036" t="s">
        <v>231</v>
      </c>
      <c r="D24" s="146" t="s">
        <v>230</v>
      </c>
      <c r="E24" s="153"/>
      <c r="F24" s="1038">
        <v>0.29389999999999999</v>
      </c>
      <c r="G24" s="141">
        <f>ROUND($E$23*$F24,0)</f>
        <v>1072735</v>
      </c>
      <c r="H24" s="153"/>
      <c r="I24" s="141">
        <f>ROUND($E$23*$F24,0)</f>
        <v>1072735</v>
      </c>
      <c r="J24" s="153"/>
    </row>
    <row r="25" spans="1:12">
      <c r="A25" s="135">
        <v>16</v>
      </c>
      <c r="C25" s="230"/>
      <c r="E25" s="153"/>
      <c r="F25" s="153"/>
      <c r="G25" s="153"/>
      <c r="H25" s="153"/>
      <c r="I25" s="153"/>
      <c r="J25" s="153"/>
    </row>
    <row r="26" spans="1:12">
      <c r="A26" s="135">
        <v>17</v>
      </c>
      <c r="B26" s="133" t="s">
        <v>227</v>
      </c>
      <c r="C26" s="230"/>
      <c r="E26" s="152">
        <f>SUM(E17:E25)</f>
        <v>37449088</v>
      </c>
      <c r="G26" s="152">
        <f>SUM(G17:G25)</f>
        <v>12683993</v>
      </c>
      <c r="I26" s="152">
        <f>SUM(I17:I25)</f>
        <v>12683993</v>
      </c>
    </row>
    <row r="27" spans="1:12">
      <c r="A27" s="135">
        <v>18</v>
      </c>
      <c r="C27" s="230"/>
    </row>
    <row r="28" spans="1:12" ht="15">
      <c r="A28" s="135">
        <v>19</v>
      </c>
      <c r="B28" s="151" t="s">
        <v>238</v>
      </c>
      <c r="C28" s="159"/>
      <c r="D28" s="135"/>
      <c r="E28" s="135"/>
      <c r="F28" s="140"/>
      <c r="G28" s="135"/>
      <c r="H28" s="135"/>
      <c r="I28" s="135"/>
    </row>
    <row r="29" spans="1:12">
      <c r="A29" s="135">
        <v>20</v>
      </c>
      <c r="B29" s="135" t="s">
        <v>234</v>
      </c>
      <c r="C29" s="159">
        <v>29761</v>
      </c>
      <c r="D29" s="141"/>
      <c r="E29" s="811">
        <v>1093740</v>
      </c>
      <c r="F29" s="140"/>
      <c r="G29" s="141"/>
      <c r="H29" s="135"/>
      <c r="I29" s="141"/>
    </row>
    <row r="30" spans="1:12">
      <c r="A30" s="135">
        <v>21</v>
      </c>
      <c r="B30" s="135" t="s">
        <v>232</v>
      </c>
      <c r="C30" s="159"/>
      <c r="D30" s="146" t="s">
        <v>230</v>
      </c>
      <c r="E30" s="141"/>
      <c r="F30" s="1038">
        <v>0.2616</v>
      </c>
      <c r="G30" s="141">
        <f>ROUND($E$29*$F30,0)</f>
        <v>286122</v>
      </c>
      <c r="H30" s="135"/>
      <c r="I30" s="141">
        <f>ROUND($E$29*$F30,0)</f>
        <v>286122</v>
      </c>
      <c r="L30" s="145"/>
    </row>
    <row r="31" spans="1:12">
      <c r="A31" s="135">
        <v>22</v>
      </c>
      <c r="B31" s="135"/>
      <c r="C31" s="159"/>
      <c r="D31" s="141"/>
      <c r="E31" s="141"/>
      <c r="F31" s="140"/>
      <c r="G31" s="141"/>
      <c r="H31" s="135"/>
      <c r="I31" s="141"/>
      <c r="J31" s="135"/>
    </row>
    <row r="32" spans="1:12">
      <c r="A32" s="135">
        <v>23</v>
      </c>
      <c r="B32" s="133" t="s">
        <v>226</v>
      </c>
      <c r="C32" s="230"/>
      <c r="E32" s="152">
        <f>SUM(E29:E31)</f>
        <v>1093740</v>
      </c>
      <c r="G32" s="152">
        <f>SUM(G29:G31)</f>
        <v>286122</v>
      </c>
      <c r="I32" s="152">
        <f>SUM(I29:I31)</f>
        <v>286122</v>
      </c>
    </row>
    <row r="33" spans="1:12">
      <c r="A33" s="135">
        <v>24</v>
      </c>
      <c r="C33" s="230"/>
    </row>
    <row r="34" spans="1:12" ht="15">
      <c r="A34" s="135">
        <v>25</v>
      </c>
      <c r="B34" s="151" t="s">
        <v>237</v>
      </c>
      <c r="C34" s="159"/>
      <c r="D34" s="141"/>
      <c r="E34" s="141"/>
      <c r="F34" s="140"/>
      <c r="G34" s="141"/>
      <c r="H34" s="135"/>
      <c r="I34" s="141"/>
    </row>
    <row r="35" spans="1:12">
      <c r="A35" s="135">
        <v>26</v>
      </c>
      <c r="B35" s="135" t="s">
        <v>236</v>
      </c>
      <c r="C35" s="159">
        <v>29763</v>
      </c>
      <c r="D35" s="141"/>
      <c r="E35" s="811">
        <v>3320769</v>
      </c>
      <c r="F35" s="140"/>
      <c r="G35" s="141"/>
      <c r="H35" s="135"/>
      <c r="I35" s="141"/>
    </row>
    <row r="36" spans="1:12">
      <c r="A36" s="135">
        <v>27</v>
      </c>
      <c r="B36" s="135" t="s">
        <v>232</v>
      </c>
      <c r="C36" s="159"/>
      <c r="D36" s="146" t="s">
        <v>235</v>
      </c>
      <c r="E36" s="141"/>
      <c r="F36" s="1038">
        <v>0.41899999999999998</v>
      </c>
      <c r="G36" s="141">
        <f>ROUND($E$35*$F36,0)</f>
        <v>1391402</v>
      </c>
      <c r="H36" s="135"/>
      <c r="I36" s="141">
        <f>ROUND($E$35*$F36,0)</f>
        <v>1391402</v>
      </c>
    </row>
    <row r="37" spans="1:12">
      <c r="A37" s="135">
        <v>28</v>
      </c>
      <c r="B37" s="135"/>
      <c r="C37" s="159"/>
      <c r="D37" s="141"/>
      <c r="E37" s="141"/>
      <c r="F37" s="140"/>
      <c r="G37" s="141"/>
      <c r="H37" s="135"/>
      <c r="I37" s="141"/>
    </row>
    <row r="38" spans="1:12">
      <c r="A38" s="135">
        <v>29</v>
      </c>
      <c r="B38" s="135" t="s">
        <v>234</v>
      </c>
      <c r="C38" s="217">
        <v>29765</v>
      </c>
      <c r="D38" s="141"/>
      <c r="E38" s="811">
        <f>1169000+108500</f>
        <v>1277500</v>
      </c>
      <c r="F38" s="140"/>
      <c r="G38" s="141"/>
      <c r="H38" s="135"/>
      <c r="I38" s="141"/>
    </row>
    <row r="39" spans="1:12">
      <c r="A39" s="135">
        <v>30</v>
      </c>
      <c r="B39" s="135" t="s">
        <v>232</v>
      </c>
      <c r="C39" s="159"/>
      <c r="D39" s="146" t="s">
        <v>230</v>
      </c>
      <c r="E39" s="141"/>
      <c r="F39" s="1038">
        <v>0.36699999999999999</v>
      </c>
      <c r="G39" s="141">
        <f>ROUND($E$38*$F39,0)</f>
        <v>468843</v>
      </c>
      <c r="H39" s="135"/>
      <c r="I39" s="141">
        <f>ROUND($E$38*$F39,0)</f>
        <v>468843</v>
      </c>
      <c r="L39" s="145"/>
    </row>
    <row r="40" spans="1:12">
      <c r="A40" s="135">
        <v>31</v>
      </c>
      <c r="B40" s="135"/>
      <c r="C40" s="159"/>
      <c r="D40" s="141"/>
      <c r="E40" s="141"/>
      <c r="F40" s="140"/>
      <c r="G40" s="141"/>
      <c r="H40" s="135"/>
      <c r="I40" s="141"/>
    </row>
    <row r="41" spans="1:12">
      <c r="A41" s="135">
        <v>32</v>
      </c>
      <c r="B41" s="135" t="s">
        <v>234</v>
      </c>
      <c r="C41" s="217" t="s">
        <v>233</v>
      </c>
      <c r="D41" s="141"/>
      <c r="E41" s="811">
        <v>1825000</v>
      </c>
      <c r="F41" s="140"/>
      <c r="G41" s="141"/>
      <c r="H41" s="135"/>
      <c r="I41" s="141"/>
      <c r="J41" s="135"/>
    </row>
    <row r="42" spans="1:12">
      <c r="A42" s="135">
        <v>33</v>
      </c>
      <c r="B42" s="135" t="s">
        <v>232</v>
      </c>
      <c r="C42" s="1036" t="s">
        <v>231</v>
      </c>
      <c r="D42" s="146" t="s">
        <v>230</v>
      </c>
      <c r="E42" s="141"/>
      <c r="F42" s="1038">
        <f>F39</f>
        <v>0.36699999999999999</v>
      </c>
      <c r="G42" s="141">
        <f>ROUND($E$41*$F42,0)</f>
        <v>669775</v>
      </c>
      <c r="H42" s="135"/>
      <c r="I42" s="141">
        <f>ROUND($E$41*$F42,0)</f>
        <v>669775</v>
      </c>
      <c r="J42" s="135"/>
      <c r="L42" s="145"/>
    </row>
    <row r="43" spans="1:12">
      <c r="A43" s="135">
        <v>34</v>
      </c>
      <c r="B43" s="135"/>
      <c r="C43" s="159"/>
      <c r="D43" s="135"/>
      <c r="E43" s="135"/>
      <c r="F43" s="140"/>
      <c r="G43" s="135"/>
      <c r="H43" s="135"/>
      <c r="I43" s="135"/>
    </row>
    <row r="44" spans="1:12">
      <c r="A44" s="135">
        <v>35</v>
      </c>
      <c r="B44" s="135" t="s">
        <v>229</v>
      </c>
      <c r="C44" s="159"/>
      <c r="D44" s="141"/>
      <c r="E44" s="142">
        <f>SUM(E35:E43)</f>
        <v>6423269</v>
      </c>
      <c r="F44" s="140"/>
      <c r="G44" s="142">
        <f>SUM(G35:G43)</f>
        <v>2530020</v>
      </c>
      <c r="H44" s="135"/>
      <c r="I44" s="142">
        <f>SUM(I35:I43)</f>
        <v>2530020</v>
      </c>
    </row>
    <row r="45" spans="1:12">
      <c r="A45" s="135">
        <v>36</v>
      </c>
      <c r="B45" s="135"/>
      <c r="C45" s="159"/>
      <c r="D45" s="141"/>
      <c r="E45" s="155"/>
      <c r="F45" s="140"/>
      <c r="G45" s="155"/>
      <c r="H45" s="135"/>
      <c r="I45" s="155"/>
    </row>
    <row r="46" spans="1:12" ht="15">
      <c r="A46" s="135">
        <v>37</v>
      </c>
      <c r="B46" s="151" t="s">
        <v>850</v>
      </c>
      <c r="C46" s="159"/>
      <c r="D46" s="141"/>
      <c r="E46" s="141"/>
      <c r="F46" s="140"/>
      <c r="G46" s="141"/>
      <c r="H46" s="135"/>
      <c r="I46" s="141"/>
    </row>
    <row r="47" spans="1:12">
      <c r="A47" s="135">
        <v>38</v>
      </c>
      <c r="B47" s="135" t="s">
        <v>234</v>
      </c>
      <c r="C47" s="217">
        <v>32799</v>
      </c>
      <c r="D47" s="141"/>
      <c r="E47" s="811">
        <v>2309720</v>
      </c>
      <c r="F47" s="140"/>
      <c r="G47" s="141"/>
      <c r="H47" s="135"/>
      <c r="I47" s="141"/>
    </row>
    <row r="48" spans="1:12">
      <c r="A48" s="135">
        <v>39</v>
      </c>
      <c r="B48" s="135" t="s">
        <v>232</v>
      </c>
      <c r="C48" s="1036" t="s">
        <v>231</v>
      </c>
      <c r="D48" s="146" t="s">
        <v>230</v>
      </c>
      <c r="E48" s="141"/>
      <c r="F48" s="1038">
        <v>0.27800000000000002</v>
      </c>
      <c r="G48" s="141">
        <f>ROUND($E$47*$F48,0)</f>
        <v>642102</v>
      </c>
      <c r="H48" s="135"/>
      <c r="I48" s="141">
        <f>ROUND($E$47*$F48,0)</f>
        <v>642102</v>
      </c>
    </row>
    <row r="49" spans="1:9">
      <c r="A49" s="135">
        <v>40</v>
      </c>
      <c r="B49" s="135"/>
      <c r="C49" s="159"/>
      <c r="D49" s="135"/>
      <c r="E49" s="135"/>
      <c r="F49" s="140"/>
      <c r="G49" s="135"/>
      <c r="H49" s="135"/>
      <c r="I49" s="135"/>
    </row>
    <row r="50" spans="1:9">
      <c r="A50" s="135">
        <v>41</v>
      </c>
      <c r="B50" s="135" t="s">
        <v>851</v>
      </c>
      <c r="C50" s="135"/>
      <c r="D50" s="141"/>
      <c r="E50" s="142">
        <f>SUM(E47:E49)</f>
        <v>2309720</v>
      </c>
      <c r="F50" s="140"/>
      <c r="G50" s="142">
        <f>SUM(G47:G49)</f>
        <v>642102</v>
      </c>
      <c r="H50" s="135"/>
      <c r="I50" s="142">
        <f>SUM(I47:I49)</f>
        <v>642102</v>
      </c>
    </row>
    <row r="51" spans="1:9">
      <c r="A51" s="135">
        <v>42</v>
      </c>
    </row>
    <row r="52" spans="1:9">
      <c r="A52" s="135">
        <v>43</v>
      </c>
      <c r="B52" s="133" t="s">
        <v>228</v>
      </c>
      <c r="E52" s="137">
        <f>E14</f>
        <v>12340360</v>
      </c>
      <c r="F52" s="137"/>
      <c r="G52" s="137">
        <f>G14</f>
        <v>3810703</v>
      </c>
      <c r="H52" s="137"/>
      <c r="I52" s="137">
        <f>I14</f>
        <v>3810703</v>
      </c>
    </row>
    <row r="53" spans="1:9">
      <c r="A53" s="135">
        <v>44</v>
      </c>
      <c r="B53" s="133" t="s">
        <v>227</v>
      </c>
      <c r="E53" s="137">
        <f>E26</f>
        <v>37449088</v>
      </c>
      <c r="F53" s="137"/>
      <c r="G53" s="137">
        <f>G26</f>
        <v>12683993</v>
      </c>
      <c r="H53" s="137"/>
      <c r="I53" s="137">
        <f>I26</f>
        <v>12683993</v>
      </c>
    </row>
    <row r="54" spans="1:9">
      <c r="A54" s="135">
        <v>45</v>
      </c>
      <c r="B54" s="133" t="s">
        <v>226</v>
      </c>
      <c r="E54" s="137">
        <f>E32</f>
        <v>1093740</v>
      </c>
      <c r="F54" s="137"/>
      <c r="G54" s="137">
        <f>G32</f>
        <v>286122</v>
      </c>
      <c r="H54" s="137"/>
      <c r="I54" s="137">
        <f>I32</f>
        <v>286122</v>
      </c>
    </row>
    <row r="55" spans="1:9">
      <c r="A55" s="135">
        <v>46</v>
      </c>
      <c r="B55" s="133" t="s">
        <v>229</v>
      </c>
      <c r="E55" s="137">
        <f>E44</f>
        <v>6423269</v>
      </c>
      <c r="F55" s="137"/>
      <c r="G55" s="137">
        <f>G44</f>
        <v>2530020</v>
      </c>
      <c r="H55" s="137"/>
      <c r="I55" s="137">
        <f>I44</f>
        <v>2530020</v>
      </c>
    </row>
    <row r="56" spans="1:9">
      <c r="A56" s="135">
        <v>47</v>
      </c>
      <c r="B56" s="133" t="s">
        <v>851</v>
      </c>
      <c r="E56" s="137">
        <f>E50</f>
        <v>2309720</v>
      </c>
      <c r="F56" s="137"/>
      <c r="G56" s="137">
        <f>G50</f>
        <v>642102</v>
      </c>
      <c r="H56" s="137"/>
      <c r="I56" s="137">
        <f>I50</f>
        <v>642102</v>
      </c>
    </row>
    <row r="57" spans="1:9">
      <c r="A57" s="135">
        <v>48</v>
      </c>
      <c r="B57" s="135"/>
      <c r="C57" s="135"/>
      <c r="E57" s="144"/>
      <c r="F57" s="134"/>
    </row>
    <row r="58" spans="1:9">
      <c r="A58" s="135">
        <v>49</v>
      </c>
      <c r="B58" s="135" t="s">
        <v>225</v>
      </c>
      <c r="C58" s="135"/>
      <c r="D58" s="141"/>
      <c r="E58" s="142">
        <f>SUM(E52:E56)</f>
        <v>59616177</v>
      </c>
      <c r="F58" s="140"/>
      <c r="G58" s="142">
        <f>SUM(G52:G56)</f>
        <v>19952940</v>
      </c>
      <c r="H58" s="143"/>
      <c r="I58" s="142">
        <f>SUM(I52:I56)</f>
        <v>19952940</v>
      </c>
    </row>
    <row r="59" spans="1:9">
      <c r="A59" s="135">
        <v>50</v>
      </c>
      <c r="B59" s="135"/>
      <c r="C59" s="135"/>
      <c r="D59" s="141"/>
      <c r="E59" s="141"/>
      <c r="F59" s="140"/>
      <c r="G59" s="141"/>
      <c r="H59" s="135"/>
      <c r="I59" s="141"/>
    </row>
    <row r="60" spans="1:9">
      <c r="A60" s="135">
        <v>51</v>
      </c>
      <c r="B60" s="135"/>
      <c r="C60" s="135"/>
      <c r="D60" s="135"/>
      <c r="E60" s="135"/>
      <c r="F60" s="140"/>
      <c r="G60" s="135"/>
      <c r="H60" s="135"/>
      <c r="I60" s="135"/>
    </row>
    <row r="61" spans="1:9" ht="15" thickBot="1">
      <c r="A61" s="135">
        <v>52</v>
      </c>
      <c r="B61" s="135" t="s">
        <v>224</v>
      </c>
      <c r="C61" s="135"/>
      <c r="D61" s="135"/>
      <c r="E61" s="141"/>
      <c r="F61" s="140"/>
      <c r="G61" s="138">
        <f>SUM(G58:G60)</f>
        <v>19952940</v>
      </c>
      <c r="H61" s="139"/>
      <c r="I61" s="138">
        <f>SUM(I58:I60)</f>
        <v>19952940</v>
      </c>
    </row>
    <row r="62" spans="1:9" ht="15" thickTop="1">
      <c r="A62" s="135"/>
      <c r="F62" s="134"/>
    </row>
    <row r="63" spans="1:9">
      <c r="A63" s="135"/>
      <c r="F63" s="134"/>
      <c r="G63" s="1082">
        <f>G61/E58</f>
        <v>0.3346900288490488</v>
      </c>
    </row>
    <row r="64" spans="1:9">
      <c r="A64" s="135"/>
      <c r="F64" s="134"/>
    </row>
    <row r="65" spans="1:7">
      <c r="A65" s="135"/>
      <c r="F65" s="134"/>
    </row>
    <row r="66" spans="1:7">
      <c r="A66" s="135"/>
      <c r="F66" s="134"/>
      <c r="G66" s="136"/>
    </row>
    <row r="67" spans="1:7">
      <c r="A67" s="135"/>
      <c r="F67" s="134"/>
    </row>
    <row r="68" spans="1:7">
      <c r="A68" s="135"/>
      <c r="F68" s="134"/>
    </row>
  </sheetData>
  <printOptions horizontalCentered="1"/>
  <pageMargins left="0.5" right="0.5" top="0.75" bottom="0.25" header="0.5" footer="0.5"/>
  <pageSetup scale="84" orientation="portrait" r:id="rId1"/>
  <headerFooter alignWithMargins="0"/>
  <customProperties>
    <customPr name="_pios_id" r:id="rId2"/>
  </customProperties>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92D050"/>
  </sheetPr>
  <dimension ref="A1:L121"/>
  <sheetViews>
    <sheetView zoomScale="80" zoomScaleNormal="80" workbookViewId="0">
      <pane xSplit="3" ySplit="9" topLeftCell="D10" activePane="bottomRight" state="frozen"/>
      <selection activeCell="E33" sqref="E33"/>
      <selection pane="topRight" activeCell="E33" sqref="E33"/>
      <selection pane="bottomLeft" activeCell="E33" sqref="E33"/>
      <selection pane="bottomRight" activeCell="E33" sqref="E33"/>
    </sheetView>
  </sheetViews>
  <sheetFormatPr defaultColWidth="9.85546875" defaultRowHeight="14.25"/>
  <cols>
    <col min="1" max="1" width="4.85546875" style="133" customWidth="1"/>
    <col min="2" max="2" width="17.140625" style="133" customWidth="1"/>
    <col min="3" max="3" width="23.42578125" style="133" customWidth="1"/>
    <col min="4" max="4" width="9.85546875" style="133" customWidth="1"/>
    <col min="5" max="5" width="13" style="133" bestFit="1" customWidth="1"/>
    <col min="6" max="6" width="10.85546875" style="133" customWidth="1"/>
    <col min="7" max="7" width="11.7109375" style="133" bestFit="1" customWidth="1"/>
    <col min="8" max="8" width="1.85546875" style="133" customWidth="1"/>
    <col min="9" max="9" width="13.5703125" style="133" customWidth="1"/>
    <col min="10" max="10" width="1.85546875" style="133" customWidth="1"/>
    <col min="11" max="11" width="11.28515625" style="133" customWidth="1"/>
    <col min="12" max="13" width="9.85546875" style="133"/>
    <col min="14" max="14" width="12.7109375" style="133" bestFit="1" customWidth="1"/>
    <col min="15" max="16384" width="9.85546875" style="133"/>
  </cols>
  <sheetData>
    <row r="1" spans="1:10" ht="15">
      <c r="A1" s="167" t="s">
        <v>51</v>
      </c>
      <c r="B1" s="150"/>
      <c r="C1" s="150"/>
      <c r="D1" s="150"/>
      <c r="E1" s="150"/>
      <c r="F1" s="150"/>
      <c r="G1" s="150"/>
      <c r="H1" s="150"/>
      <c r="I1" s="135" t="s">
        <v>256</v>
      </c>
      <c r="J1" s="135"/>
    </row>
    <row r="2" spans="1:10">
      <c r="A2" s="150" t="str">
        <f>B.1!A2</f>
        <v>Expected Gas Cost (EGC) Calculation</v>
      </c>
      <c r="B2" s="150"/>
      <c r="C2" s="150"/>
      <c r="D2" s="150"/>
      <c r="E2" s="150"/>
      <c r="F2" s="150"/>
      <c r="G2" s="150"/>
      <c r="H2" s="150"/>
      <c r="I2" s="135" t="s">
        <v>272</v>
      </c>
      <c r="J2" s="135"/>
    </row>
    <row r="3" spans="1:10">
      <c r="A3" s="166" t="s">
        <v>271</v>
      </c>
      <c r="B3" s="150"/>
      <c r="C3" s="150"/>
      <c r="D3" s="150"/>
      <c r="E3" s="150"/>
      <c r="F3" s="150"/>
      <c r="G3" s="150"/>
      <c r="H3" s="150"/>
      <c r="I3" s="150"/>
      <c r="J3" s="135"/>
    </row>
    <row r="4" spans="1:10">
      <c r="A4" s="135"/>
      <c r="B4" s="135"/>
      <c r="C4" s="135"/>
      <c r="D4" s="135"/>
      <c r="E4" s="135"/>
      <c r="F4" s="165"/>
      <c r="G4" s="135"/>
      <c r="H4" s="135"/>
      <c r="I4" s="135"/>
      <c r="J4" s="135"/>
    </row>
    <row r="5" spans="1:10" ht="15">
      <c r="A5" s="160"/>
      <c r="B5" s="135"/>
      <c r="C5" s="135"/>
      <c r="D5" s="159" t="s">
        <v>46</v>
      </c>
      <c r="E5" s="159" t="s">
        <v>45</v>
      </c>
      <c r="F5" s="159" t="s">
        <v>44</v>
      </c>
      <c r="G5" s="159" t="s">
        <v>252</v>
      </c>
      <c r="H5" s="135"/>
      <c r="I5" s="159" t="s">
        <v>251</v>
      </c>
      <c r="J5" s="135"/>
    </row>
    <row r="6" spans="1:10" ht="15">
      <c r="A6" s="160"/>
      <c r="B6" s="160"/>
      <c r="C6" s="160"/>
      <c r="D6" s="160"/>
      <c r="E6" s="160"/>
      <c r="F6" s="160"/>
      <c r="G6" s="164" t="s">
        <v>250</v>
      </c>
      <c r="H6" s="164"/>
      <c r="I6" s="164"/>
      <c r="J6" s="164"/>
    </row>
    <row r="7" spans="1:10" ht="15">
      <c r="A7" s="163" t="s">
        <v>43</v>
      </c>
      <c r="B7" s="160"/>
      <c r="C7" s="160"/>
      <c r="D7" s="163" t="s">
        <v>0</v>
      </c>
      <c r="E7" s="163" t="s">
        <v>249</v>
      </c>
      <c r="F7" s="160"/>
      <c r="G7" s="160"/>
      <c r="H7" s="160"/>
      <c r="I7" s="160"/>
      <c r="J7" s="160"/>
    </row>
    <row r="8" spans="1:10" ht="15">
      <c r="A8" s="162" t="s">
        <v>42</v>
      </c>
      <c r="B8" s="161" t="s">
        <v>41</v>
      </c>
      <c r="C8" s="161"/>
      <c r="D8" s="162" t="s">
        <v>248</v>
      </c>
      <c r="E8" s="162" t="s">
        <v>247</v>
      </c>
      <c r="F8" s="162" t="s">
        <v>246</v>
      </c>
      <c r="G8" s="162" t="s">
        <v>245</v>
      </c>
      <c r="H8" s="161"/>
      <c r="I8" s="162" t="s">
        <v>31</v>
      </c>
      <c r="J8" s="161"/>
    </row>
    <row r="9" spans="1:10" ht="15">
      <c r="A9" s="135"/>
      <c r="B9" s="160"/>
      <c r="C9" s="135"/>
      <c r="D9" s="135"/>
      <c r="E9" s="159" t="s">
        <v>244</v>
      </c>
      <c r="F9" s="159" t="s">
        <v>243</v>
      </c>
      <c r="G9" s="159" t="s">
        <v>242</v>
      </c>
      <c r="H9" s="135"/>
      <c r="I9" s="159" t="s">
        <v>242</v>
      </c>
      <c r="J9" s="135"/>
    </row>
    <row r="10" spans="1:10" ht="15">
      <c r="A10" s="135"/>
      <c r="B10" s="160"/>
      <c r="C10" s="135"/>
      <c r="D10" s="135"/>
      <c r="E10" s="135"/>
      <c r="F10" s="135"/>
      <c r="G10" s="135"/>
      <c r="H10" s="135"/>
      <c r="I10" s="135"/>
      <c r="J10" s="135"/>
    </row>
    <row r="11" spans="1:10" ht="15">
      <c r="A11" s="135">
        <v>1</v>
      </c>
      <c r="B11" s="151" t="s">
        <v>270</v>
      </c>
      <c r="C11" s="135"/>
      <c r="D11" s="141"/>
      <c r="E11" s="141"/>
      <c r="F11" s="157"/>
      <c r="G11" s="141"/>
      <c r="H11" s="135"/>
      <c r="I11" s="141"/>
      <c r="J11" s="135"/>
    </row>
    <row r="12" spans="1:10">
      <c r="A12" s="135">
        <v>2</v>
      </c>
      <c r="B12" s="135" t="s">
        <v>267</v>
      </c>
      <c r="C12" s="150">
        <v>2546</v>
      </c>
      <c r="D12" s="135"/>
      <c r="E12" s="811">
        <v>145000</v>
      </c>
      <c r="F12" s="812"/>
      <c r="G12" s="141"/>
      <c r="H12" s="135"/>
      <c r="I12" s="141"/>
      <c r="J12" s="135"/>
    </row>
    <row r="13" spans="1:10">
      <c r="A13" s="135">
        <v>3</v>
      </c>
      <c r="B13" s="135" t="s">
        <v>232</v>
      </c>
      <c r="C13" s="150"/>
      <c r="D13" s="169" t="s">
        <v>266</v>
      </c>
      <c r="E13" s="811"/>
      <c r="F13" s="812">
        <v>16.057600000000001</v>
      </c>
      <c r="G13" s="141">
        <f>ROUND($E$12*$F$13,0)</f>
        <v>2328352</v>
      </c>
      <c r="H13" s="135"/>
      <c r="I13" s="141">
        <f>ROUND($E$12*$F$13,0)</f>
        <v>2328352</v>
      </c>
      <c r="J13" s="135"/>
    </row>
    <row r="14" spans="1:10">
      <c r="A14" s="135">
        <v>4</v>
      </c>
      <c r="B14" s="135"/>
      <c r="C14" s="150"/>
      <c r="D14" s="135"/>
      <c r="E14" s="811"/>
      <c r="F14" s="812"/>
      <c r="G14" s="141"/>
      <c r="H14" s="135"/>
      <c r="I14" s="141"/>
      <c r="J14" s="135"/>
    </row>
    <row r="15" spans="1:10">
      <c r="A15" s="135">
        <v>5</v>
      </c>
      <c r="B15" s="135" t="s">
        <v>849</v>
      </c>
      <c r="C15" s="150">
        <v>95033</v>
      </c>
      <c r="D15" s="141"/>
      <c r="E15" s="811">
        <v>144000</v>
      </c>
      <c r="F15" s="812"/>
      <c r="G15" s="141"/>
      <c r="H15" s="135"/>
      <c r="I15" s="141"/>
      <c r="J15" s="135"/>
    </row>
    <row r="16" spans="1:10">
      <c r="A16" s="135">
        <v>6</v>
      </c>
      <c r="B16" s="135" t="s">
        <v>232</v>
      </c>
      <c r="C16" s="150"/>
      <c r="D16" s="169">
        <v>14</v>
      </c>
      <c r="E16" s="811"/>
      <c r="F16" s="812">
        <v>16.057600000000001</v>
      </c>
      <c r="G16" s="141">
        <f>ROUND($E$15*$F$16,0)</f>
        <v>2312294</v>
      </c>
      <c r="H16" s="135"/>
      <c r="I16" s="141">
        <f>ROUND($E$15*$F$16,0)</f>
        <v>2312294</v>
      </c>
      <c r="J16" s="135"/>
    </row>
    <row r="17" spans="1:10">
      <c r="A17" s="135">
        <v>7</v>
      </c>
      <c r="B17" s="135"/>
      <c r="C17" s="150"/>
      <c r="D17" s="169"/>
      <c r="E17" s="811"/>
      <c r="F17" s="812"/>
      <c r="G17" s="141"/>
      <c r="H17" s="135"/>
      <c r="I17" s="141"/>
      <c r="J17" s="135"/>
    </row>
    <row r="18" spans="1:10">
      <c r="A18" s="135">
        <v>8</v>
      </c>
      <c r="B18" s="135" t="s">
        <v>849</v>
      </c>
      <c r="C18" s="150">
        <v>308768</v>
      </c>
      <c r="D18" s="141"/>
      <c r="E18" s="811">
        <v>2500</v>
      </c>
      <c r="F18" s="812"/>
      <c r="G18" s="141"/>
      <c r="H18" s="135"/>
      <c r="I18" s="141"/>
      <c r="J18" s="135"/>
    </row>
    <row r="19" spans="1:10">
      <c r="A19" s="135">
        <v>9</v>
      </c>
      <c r="B19" s="135" t="s">
        <v>232</v>
      </c>
      <c r="C19" s="150"/>
      <c r="D19" s="169">
        <v>14</v>
      </c>
      <c r="E19" s="811"/>
      <c r="F19" s="1065">
        <f>+F16</f>
        <v>16.057600000000001</v>
      </c>
      <c r="G19" s="141">
        <f>ROUND($E$18*$F$19,0)</f>
        <v>40144</v>
      </c>
      <c r="H19" s="135"/>
      <c r="I19" s="141">
        <f>ROUND($E$18*$F$19,0)</f>
        <v>40144</v>
      </c>
      <c r="J19" s="135"/>
    </row>
    <row r="20" spans="1:10">
      <c r="A20" s="135">
        <v>10</v>
      </c>
      <c r="B20" s="135"/>
      <c r="C20" s="150"/>
      <c r="D20" s="169"/>
      <c r="E20" s="811"/>
      <c r="F20" s="812"/>
      <c r="G20" s="141"/>
      <c r="H20" s="135"/>
      <c r="I20" s="141"/>
      <c r="J20" s="135"/>
    </row>
    <row r="21" spans="1:10">
      <c r="A21" s="135">
        <v>12</v>
      </c>
      <c r="B21" s="135" t="s">
        <v>269</v>
      </c>
      <c r="C21" s="135"/>
      <c r="D21" s="141"/>
      <c r="E21" s="142">
        <f>SUM(E12:E20)</f>
        <v>291500</v>
      </c>
      <c r="F21" s="140"/>
      <c r="G21" s="142">
        <f>SUM(G12:G20)</f>
        <v>4680790</v>
      </c>
      <c r="H21" s="135"/>
      <c r="I21" s="142">
        <f>SUM(I12:I20)</f>
        <v>4680790</v>
      </c>
      <c r="J21" s="135"/>
    </row>
    <row r="22" spans="1:10">
      <c r="A22" s="135">
        <v>13</v>
      </c>
      <c r="B22" s="135"/>
      <c r="C22" s="135"/>
      <c r="D22" s="141"/>
      <c r="E22" s="155"/>
      <c r="F22" s="140"/>
      <c r="G22" s="155"/>
      <c r="H22" s="135"/>
      <c r="I22" s="155"/>
      <c r="J22" s="135"/>
    </row>
    <row r="23" spans="1:10" ht="15">
      <c r="A23" s="135">
        <v>14</v>
      </c>
      <c r="B23" s="151" t="s">
        <v>268</v>
      </c>
      <c r="C23" s="135"/>
      <c r="D23" s="141"/>
      <c r="E23" s="155"/>
      <c r="F23" s="140"/>
      <c r="G23" s="155"/>
      <c r="H23" s="135"/>
      <c r="I23" s="155"/>
      <c r="J23" s="135"/>
    </row>
    <row r="24" spans="1:10">
      <c r="A24" s="135">
        <v>15</v>
      </c>
      <c r="B24" s="135" t="s">
        <v>849</v>
      </c>
      <c r="C24" s="150">
        <v>300264</v>
      </c>
      <c r="D24" s="141"/>
      <c r="E24" s="811">
        <v>30000</v>
      </c>
      <c r="F24" s="812"/>
      <c r="G24" s="141"/>
      <c r="H24" s="135"/>
      <c r="I24" s="141"/>
      <c r="J24" s="135"/>
    </row>
    <row r="25" spans="1:10">
      <c r="A25" s="135">
        <v>16</v>
      </c>
      <c r="B25" s="135" t="s">
        <v>232</v>
      </c>
      <c r="C25" s="150"/>
      <c r="D25" s="169">
        <v>14</v>
      </c>
      <c r="E25" s="811"/>
      <c r="F25" s="812">
        <v>10.904500000000001</v>
      </c>
      <c r="G25" s="141">
        <f>ROUND($E$24*$F$25,0)</f>
        <v>327135</v>
      </c>
      <c r="H25" s="135"/>
      <c r="I25" s="141">
        <f>ROUND($E$24*$F$25,0)</f>
        <v>327135</v>
      </c>
      <c r="J25" s="135"/>
    </row>
    <row r="26" spans="1:10">
      <c r="A26" s="135">
        <v>17</v>
      </c>
      <c r="B26" s="135"/>
      <c r="C26" s="135"/>
      <c r="D26" s="141"/>
      <c r="E26" s="155"/>
      <c r="F26" s="140"/>
      <c r="G26" s="155"/>
      <c r="H26" s="135"/>
      <c r="I26" s="155"/>
      <c r="J26" s="135"/>
    </row>
    <row r="27" spans="1:10">
      <c r="A27" s="135">
        <v>18</v>
      </c>
      <c r="B27" s="135" t="s">
        <v>1131</v>
      </c>
      <c r="C27" s="135"/>
      <c r="D27" s="141"/>
      <c r="E27" s="142">
        <f>+SUM(E24:E26)</f>
        <v>30000</v>
      </c>
      <c r="F27" s="140"/>
      <c r="G27" s="142">
        <f>+SUM(G24:G26)</f>
        <v>327135</v>
      </c>
      <c r="H27" s="155">
        <f t="shared" ref="H27:I27" si="0">+SUM(H24:H26)</f>
        <v>0</v>
      </c>
      <c r="I27" s="142">
        <f t="shared" si="0"/>
        <v>327135</v>
      </c>
      <c r="J27" s="135"/>
    </row>
    <row r="28" spans="1:10" ht="15">
      <c r="A28" s="135">
        <v>19</v>
      </c>
      <c r="B28" s="160"/>
      <c r="C28" s="135"/>
      <c r="D28" s="135"/>
      <c r="E28" s="135"/>
      <c r="F28" s="135"/>
      <c r="G28" s="135"/>
      <c r="H28" s="135"/>
      <c r="I28" s="135"/>
      <c r="J28" s="135"/>
    </row>
    <row r="29" spans="1:10" ht="15">
      <c r="A29" s="135">
        <v>20</v>
      </c>
      <c r="B29" s="151" t="s">
        <v>265</v>
      </c>
      <c r="C29" s="135"/>
      <c r="D29" s="135"/>
      <c r="E29" s="135"/>
      <c r="F29" s="135"/>
      <c r="G29" s="135"/>
      <c r="H29" s="135"/>
      <c r="I29" s="135"/>
      <c r="J29" s="135"/>
    </row>
    <row r="30" spans="1:10">
      <c r="A30" s="135">
        <v>21</v>
      </c>
      <c r="B30" s="135" t="s">
        <v>264</v>
      </c>
      <c r="C30" s="135"/>
      <c r="D30" s="135"/>
      <c r="E30" s="135"/>
      <c r="F30" s="135"/>
      <c r="G30" s="135"/>
      <c r="H30" s="135"/>
      <c r="I30" s="135"/>
      <c r="J30" s="135"/>
    </row>
    <row r="31" spans="1:10">
      <c r="A31" s="135">
        <v>22</v>
      </c>
      <c r="B31" s="135" t="s">
        <v>260</v>
      </c>
      <c r="C31" s="147" t="s">
        <v>263</v>
      </c>
      <c r="D31" s="159">
        <v>61</v>
      </c>
      <c r="E31" s="811">
        <f>2914*12</f>
        <v>34968</v>
      </c>
      <c r="F31" s="812">
        <v>2.81</v>
      </c>
      <c r="G31" s="141">
        <f>ROUND($E$31*$F$31,0)</f>
        <v>98260</v>
      </c>
      <c r="H31" s="135"/>
      <c r="I31" s="141">
        <f>ROUND($E$31*$F$31,0)</f>
        <v>98260</v>
      </c>
      <c r="J31" s="135"/>
    </row>
    <row r="32" spans="1:10">
      <c r="A32" s="135">
        <v>23</v>
      </c>
      <c r="B32" s="135" t="s">
        <v>259</v>
      </c>
      <c r="C32" s="147" t="s">
        <v>262</v>
      </c>
      <c r="D32" s="159">
        <v>61</v>
      </c>
      <c r="E32" s="811">
        <v>4916148</v>
      </c>
      <c r="F32" s="812">
        <v>2.86E-2</v>
      </c>
      <c r="G32" s="141">
        <f>ROUND($E$32*$F$32,0)</f>
        <v>140602</v>
      </c>
      <c r="H32" s="135"/>
      <c r="I32" s="141">
        <f>ROUND($E$32*$F$32,0)</f>
        <v>140602</v>
      </c>
      <c r="J32" s="135"/>
    </row>
    <row r="33" spans="1:10">
      <c r="A33" s="135">
        <v>24</v>
      </c>
      <c r="B33" s="135" t="s">
        <v>261</v>
      </c>
      <c r="C33" s="135"/>
      <c r="D33" s="135"/>
      <c r="E33" s="811"/>
      <c r="F33" s="813"/>
      <c r="G33" s="141"/>
      <c r="H33" s="135"/>
      <c r="I33" s="141"/>
      <c r="J33" s="135"/>
    </row>
    <row r="34" spans="1:10">
      <c r="A34" s="135">
        <v>25</v>
      </c>
      <c r="B34" s="135" t="s">
        <v>260</v>
      </c>
      <c r="C34" s="135"/>
      <c r="D34" s="159">
        <v>61</v>
      </c>
      <c r="E34" s="811">
        <f>(15784+4000)*12</f>
        <v>237408</v>
      </c>
      <c r="F34" s="812">
        <v>1.54</v>
      </c>
      <c r="G34" s="141">
        <f>ROUND($E$34*$F$34,0)</f>
        <v>365608</v>
      </c>
      <c r="H34" s="135"/>
      <c r="I34" s="141">
        <f>ROUND($E$34*$F$34,0)</f>
        <v>365608</v>
      </c>
      <c r="J34" s="135"/>
    </row>
    <row r="35" spans="1:10">
      <c r="A35" s="135">
        <v>26</v>
      </c>
      <c r="B35" s="148" t="s">
        <v>259</v>
      </c>
      <c r="C35" s="135"/>
      <c r="D35" s="159">
        <v>61</v>
      </c>
      <c r="E35" s="810">
        <f>9046308+1800000</f>
        <v>10846308</v>
      </c>
      <c r="F35" s="812">
        <v>2.1100000000000001E-2</v>
      </c>
      <c r="G35" s="168">
        <f>ROUND($E$35*$F$35,0)</f>
        <v>228857</v>
      </c>
      <c r="H35" s="135"/>
      <c r="I35" s="168">
        <f>ROUND($E$35*$F$35,0)</f>
        <v>228857</v>
      </c>
      <c r="J35" s="135"/>
    </row>
    <row r="36" spans="1:10">
      <c r="A36" s="135">
        <v>27</v>
      </c>
      <c r="B36" s="135" t="s">
        <v>258</v>
      </c>
      <c r="C36" s="135"/>
      <c r="D36" s="135"/>
      <c r="E36" s="141">
        <f>SUM(E31:E35)</f>
        <v>16034832</v>
      </c>
      <c r="F36" s="135"/>
      <c r="G36" s="141">
        <f>SUM(G31:G35)</f>
        <v>833327</v>
      </c>
      <c r="H36" s="135"/>
      <c r="I36" s="141">
        <f>SUM(I31:I35)</f>
        <v>833327</v>
      </c>
      <c r="J36" s="135"/>
    </row>
    <row r="37" spans="1:10">
      <c r="A37" s="135">
        <v>28</v>
      </c>
      <c r="J37" s="135"/>
    </row>
    <row r="38" spans="1:10" ht="15" thickBot="1">
      <c r="A38" s="135">
        <v>29</v>
      </c>
      <c r="B38" s="135" t="s">
        <v>257</v>
      </c>
      <c r="C38" s="135"/>
      <c r="D38" s="135"/>
      <c r="E38" s="135"/>
      <c r="F38" s="135"/>
      <c r="G38" s="138">
        <f>G21+G27+G36</f>
        <v>5841252</v>
      </c>
      <c r="H38" s="135"/>
      <c r="I38" s="138">
        <f>I21+I27+I36</f>
        <v>5841252</v>
      </c>
      <c r="J38" s="135"/>
    </row>
    <row r="39" spans="1:10" ht="15.75" thickTop="1">
      <c r="A39" s="135"/>
      <c r="B39" s="160"/>
      <c r="C39" s="135"/>
      <c r="D39" s="135"/>
      <c r="E39" s="135"/>
      <c r="F39" s="135"/>
      <c r="G39" s="135"/>
      <c r="H39" s="135"/>
      <c r="I39" s="135"/>
      <c r="J39" s="135"/>
    </row>
    <row r="40" spans="1:10" ht="15">
      <c r="A40" s="135"/>
      <c r="B40" s="160"/>
      <c r="C40" s="135"/>
      <c r="D40" s="135"/>
      <c r="E40" s="135"/>
      <c r="F40" s="135"/>
      <c r="G40" s="135"/>
      <c r="H40" s="135"/>
      <c r="I40" s="135"/>
      <c r="J40" s="135"/>
    </row>
    <row r="41" spans="1:10" ht="15">
      <c r="A41" s="135"/>
      <c r="B41" s="160"/>
      <c r="C41" s="135"/>
      <c r="D41" s="135"/>
      <c r="E41" s="135"/>
      <c r="F41" s="135"/>
      <c r="G41" s="135"/>
      <c r="H41" s="135"/>
      <c r="I41" s="141"/>
      <c r="J41" s="135"/>
    </row>
    <row r="42" spans="1:10" ht="15">
      <c r="A42" s="135"/>
      <c r="B42" s="160"/>
      <c r="C42" s="135"/>
      <c r="D42" s="135"/>
      <c r="E42" s="135"/>
      <c r="F42" s="135"/>
      <c r="G42" s="135"/>
      <c r="H42" s="135"/>
      <c r="I42" s="135"/>
      <c r="J42" s="135"/>
    </row>
    <row r="43" spans="1:10" ht="15">
      <c r="A43" s="135"/>
      <c r="B43" s="160"/>
      <c r="C43" s="135"/>
      <c r="D43" s="135"/>
      <c r="E43" s="135"/>
      <c r="F43" s="135"/>
      <c r="G43" s="135"/>
      <c r="H43" s="135"/>
      <c r="I43" s="135"/>
      <c r="J43" s="135"/>
    </row>
    <row r="44" spans="1:10" ht="15">
      <c r="A44" s="135"/>
      <c r="B44" s="160"/>
      <c r="C44" s="135"/>
      <c r="D44" s="135"/>
      <c r="E44" s="135"/>
      <c r="F44" s="135"/>
      <c r="G44" s="135"/>
      <c r="H44" s="135"/>
      <c r="I44" s="135"/>
      <c r="J44" s="135"/>
    </row>
    <row r="45" spans="1:10" ht="15">
      <c r="A45" s="135"/>
      <c r="B45" s="160"/>
      <c r="C45" s="135"/>
      <c r="D45" s="135"/>
      <c r="E45" s="135"/>
      <c r="F45" s="135"/>
      <c r="G45" s="135"/>
      <c r="H45" s="135"/>
      <c r="I45" s="135"/>
      <c r="J45" s="135"/>
    </row>
    <row r="46" spans="1:10" ht="15">
      <c r="A46" s="135"/>
      <c r="B46" s="160"/>
      <c r="C46" s="135"/>
      <c r="D46" s="135"/>
      <c r="E46" s="135"/>
      <c r="F46" s="135"/>
      <c r="G46" s="135"/>
      <c r="H46" s="135"/>
      <c r="I46" s="135"/>
      <c r="J46" s="135"/>
    </row>
    <row r="47" spans="1:10" ht="15">
      <c r="A47" s="135"/>
      <c r="B47" s="160"/>
      <c r="C47" s="135"/>
      <c r="D47" s="135"/>
      <c r="E47" s="135"/>
      <c r="F47" s="135"/>
      <c r="G47" s="135"/>
      <c r="H47" s="135"/>
      <c r="I47" s="135"/>
      <c r="J47" s="135"/>
    </row>
    <row r="48" spans="1:10" ht="15">
      <c r="A48" s="135"/>
      <c r="B48" s="160"/>
      <c r="C48" s="135"/>
      <c r="D48" s="135"/>
      <c r="E48" s="135"/>
      <c r="F48" s="135"/>
      <c r="G48" s="135"/>
      <c r="H48" s="135"/>
      <c r="I48" s="135"/>
      <c r="J48" s="135"/>
    </row>
    <row r="49" spans="1:10" ht="15">
      <c r="A49" s="135"/>
      <c r="B49" s="160"/>
      <c r="C49" s="135"/>
      <c r="D49" s="135"/>
      <c r="E49" s="135"/>
      <c r="F49" s="135"/>
      <c r="G49" s="135"/>
      <c r="H49" s="135"/>
      <c r="I49" s="135"/>
      <c r="J49" s="135"/>
    </row>
    <row r="50" spans="1:10" ht="15">
      <c r="A50" s="135"/>
      <c r="B50" s="160"/>
      <c r="C50" s="135"/>
      <c r="D50" s="135"/>
      <c r="E50" s="135"/>
      <c r="F50" s="135"/>
      <c r="G50" s="135"/>
      <c r="H50" s="135"/>
      <c r="I50" s="135"/>
      <c r="J50" s="135"/>
    </row>
    <row r="51" spans="1:10" ht="15">
      <c r="A51" s="135"/>
      <c r="B51" s="160"/>
      <c r="C51" s="135"/>
      <c r="D51" s="135"/>
      <c r="E51" s="135"/>
      <c r="F51" s="135"/>
      <c r="G51" s="135"/>
      <c r="H51" s="135"/>
      <c r="I51" s="135"/>
      <c r="J51" s="135"/>
    </row>
    <row r="52" spans="1:10" ht="15">
      <c r="A52" s="135"/>
      <c r="B52" s="160"/>
      <c r="C52" s="135"/>
      <c r="D52" s="135"/>
      <c r="E52" s="135"/>
      <c r="F52" s="135"/>
      <c r="G52" s="135"/>
      <c r="H52" s="135"/>
      <c r="I52" s="135"/>
      <c r="J52" s="135"/>
    </row>
    <row r="53" spans="1:10" ht="15">
      <c r="A53" s="135"/>
      <c r="B53" s="160"/>
      <c r="C53" s="135"/>
      <c r="D53" s="135"/>
      <c r="E53" s="135"/>
      <c r="F53" s="135"/>
      <c r="G53" s="135"/>
      <c r="H53" s="135"/>
      <c r="I53" s="135"/>
      <c r="J53" s="135"/>
    </row>
    <row r="54" spans="1:10" ht="15">
      <c r="A54" s="135"/>
      <c r="B54" s="160"/>
      <c r="C54" s="135"/>
      <c r="D54" s="135"/>
      <c r="E54" s="135"/>
      <c r="F54" s="135"/>
      <c r="G54" s="135"/>
      <c r="H54" s="135"/>
      <c r="I54" s="135"/>
      <c r="J54" s="135"/>
    </row>
    <row r="55" spans="1:10" ht="15">
      <c r="A55" s="135"/>
      <c r="B55" s="160"/>
      <c r="C55" s="135"/>
      <c r="D55" s="135"/>
      <c r="E55" s="135"/>
      <c r="F55" s="135"/>
      <c r="G55" s="135"/>
      <c r="H55" s="135"/>
      <c r="I55" s="135"/>
      <c r="J55" s="135"/>
    </row>
    <row r="56" spans="1:10" ht="15">
      <c r="A56" s="135"/>
      <c r="B56" s="160"/>
      <c r="C56" s="135"/>
      <c r="D56" s="135"/>
      <c r="E56" s="135"/>
      <c r="F56" s="135"/>
      <c r="G56" s="135"/>
      <c r="H56" s="135"/>
      <c r="I56" s="135"/>
      <c r="J56" s="135"/>
    </row>
    <row r="57" spans="1:10" ht="15">
      <c r="A57" s="135"/>
      <c r="B57" s="160"/>
      <c r="C57" s="135"/>
      <c r="D57" s="135"/>
      <c r="E57" s="135"/>
      <c r="F57" s="135"/>
      <c r="G57" s="135"/>
      <c r="H57" s="135"/>
      <c r="I57" s="135"/>
      <c r="J57" s="135"/>
    </row>
    <row r="58" spans="1:10" ht="15">
      <c r="A58" s="135"/>
      <c r="B58" s="160"/>
      <c r="C58" s="135"/>
      <c r="D58" s="135"/>
      <c r="E58" s="135"/>
      <c r="F58" s="135"/>
      <c r="G58" s="135"/>
      <c r="H58" s="135"/>
      <c r="I58" s="135"/>
      <c r="J58" s="135"/>
    </row>
    <row r="59" spans="1:10" ht="15">
      <c r="A59" s="135"/>
      <c r="B59" s="160"/>
      <c r="C59" s="135"/>
      <c r="D59" s="135"/>
      <c r="E59" s="135"/>
      <c r="F59" s="135"/>
      <c r="G59" s="135"/>
      <c r="H59" s="135"/>
      <c r="I59" s="135"/>
      <c r="J59" s="135"/>
    </row>
    <row r="60" spans="1:10" ht="15">
      <c r="A60" s="135"/>
      <c r="B60" s="160"/>
      <c r="C60" s="135"/>
      <c r="D60" s="135"/>
      <c r="E60" s="135"/>
      <c r="F60" s="135"/>
      <c r="G60" s="135"/>
      <c r="H60" s="135"/>
      <c r="I60" s="135"/>
      <c r="J60" s="135"/>
    </row>
    <row r="61" spans="1:10" ht="15">
      <c r="A61" s="135"/>
      <c r="B61" s="160"/>
      <c r="C61" s="135"/>
      <c r="D61" s="135"/>
      <c r="E61" s="135"/>
      <c r="F61" s="135"/>
      <c r="G61" s="135"/>
      <c r="H61" s="135"/>
      <c r="I61" s="135"/>
      <c r="J61" s="135"/>
    </row>
    <row r="62" spans="1:10" ht="15">
      <c r="A62" s="135"/>
      <c r="B62" s="160"/>
      <c r="C62" s="135"/>
      <c r="D62" s="135"/>
      <c r="E62" s="135"/>
      <c r="F62" s="135"/>
      <c r="G62" s="135"/>
      <c r="H62" s="135"/>
      <c r="I62" s="135"/>
      <c r="J62" s="135"/>
    </row>
    <row r="63" spans="1:10" ht="15">
      <c r="A63" s="135"/>
      <c r="B63" s="160"/>
      <c r="C63" s="135"/>
      <c r="D63" s="135"/>
      <c r="E63" s="135"/>
      <c r="F63" s="135"/>
      <c r="G63" s="135"/>
      <c r="H63" s="135"/>
      <c r="I63" s="135"/>
      <c r="J63" s="135"/>
    </row>
    <row r="64" spans="1:10" ht="15">
      <c r="A64" s="135"/>
      <c r="B64" s="160"/>
      <c r="C64" s="135"/>
      <c r="D64" s="135"/>
      <c r="E64" s="135"/>
      <c r="F64" s="135"/>
      <c r="G64" s="135"/>
      <c r="H64" s="135"/>
      <c r="I64" s="135"/>
      <c r="J64" s="135"/>
    </row>
    <row r="65" spans="1:12" ht="15">
      <c r="A65" s="135"/>
      <c r="B65" s="160"/>
      <c r="C65" s="135"/>
      <c r="D65" s="135"/>
      <c r="E65" s="135"/>
      <c r="F65" s="135"/>
      <c r="G65" s="135"/>
      <c r="H65" s="135"/>
      <c r="I65" s="135"/>
      <c r="J65" s="135"/>
    </row>
    <row r="66" spans="1:12" ht="15">
      <c r="A66" s="135"/>
      <c r="B66" s="160"/>
      <c r="C66" s="135"/>
      <c r="D66" s="135"/>
      <c r="E66" s="135"/>
      <c r="F66" s="135"/>
      <c r="G66" s="135"/>
      <c r="H66" s="135"/>
      <c r="I66" s="135"/>
      <c r="J66" s="135"/>
    </row>
    <row r="67" spans="1:12" ht="15">
      <c r="A67" s="135"/>
      <c r="B67" s="160"/>
      <c r="C67" s="135"/>
      <c r="D67" s="135"/>
      <c r="E67" s="135"/>
      <c r="F67" s="135"/>
      <c r="G67" s="135"/>
      <c r="H67" s="135"/>
      <c r="I67" s="135"/>
      <c r="J67" s="135"/>
    </row>
    <row r="68" spans="1:12" ht="15">
      <c r="A68" s="135"/>
      <c r="B68" s="160"/>
      <c r="C68" s="135"/>
      <c r="D68" s="135"/>
      <c r="E68" s="135"/>
      <c r="F68" s="135"/>
      <c r="G68" s="135"/>
      <c r="H68" s="135"/>
      <c r="I68" s="135"/>
      <c r="J68" s="135"/>
    </row>
    <row r="69" spans="1:12" ht="15">
      <c r="A69" s="135"/>
      <c r="B69" s="160"/>
      <c r="C69" s="135"/>
      <c r="D69" s="135"/>
      <c r="E69" s="135"/>
      <c r="F69" s="135"/>
      <c r="G69" s="135"/>
      <c r="H69" s="135"/>
      <c r="I69" s="135"/>
      <c r="J69" s="135"/>
    </row>
    <row r="70" spans="1:12">
      <c r="A70" s="135"/>
    </row>
    <row r="71" spans="1:12">
      <c r="A71" s="135"/>
      <c r="B71" s="135"/>
      <c r="C71" s="135"/>
      <c r="D71" s="135"/>
      <c r="E71" s="135"/>
      <c r="F71" s="135"/>
      <c r="G71" s="135"/>
      <c r="H71" s="135"/>
      <c r="I71" s="135"/>
      <c r="J71" s="135"/>
    </row>
    <row r="72" spans="1:12">
      <c r="A72" s="135"/>
    </row>
    <row r="73" spans="1:12">
      <c r="A73" s="135"/>
    </row>
    <row r="74" spans="1:12">
      <c r="A74" s="135"/>
    </row>
    <row r="75" spans="1:12">
      <c r="A75" s="135"/>
    </row>
    <row r="76" spans="1:12">
      <c r="A76" s="135"/>
    </row>
    <row r="77" spans="1:12">
      <c r="A77" s="135"/>
      <c r="B77" s="135"/>
      <c r="C77" s="135"/>
      <c r="D77" s="135"/>
      <c r="E77" s="135"/>
      <c r="F77" s="135"/>
      <c r="G77" s="135"/>
      <c r="H77" s="135"/>
      <c r="I77" s="135"/>
      <c r="J77" s="135"/>
      <c r="L77" s="135"/>
    </row>
    <row r="79" spans="1:12">
      <c r="A79" s="135"/>
      <c r="L79" s="135"/>
    </row>
    <row r="83" spans="1:12">
      <c r="B83" s="135"/>
      <c r="C83" s="135"/>
      <c r="D83" s="135"/>
      <c r="E83" s="135"/>
      <c r="F83" s="135"/>
      <c r="G83" s="135"/>
      <c r="H83" s="135"/>
      <c r="I83" s="135"/>
      <c r="J83" s="135"/>
    </row>
    <row r="85" spans="1:12">
      <c r="A85" s="135"/>
      <c r="L85" s="135"/>
    </row>
    <row r="89" spans="1:12">
      <c r="B89" s="135"/>
      <c r="C89" s="135"/>
      <c r="D89" s="135"/>
      <c r="E89" s="135"/>
      <c r="F89" s="135"/>
      <c r="G89" s="135"/>
      <c r="H89" s="135"/>
      <c r="I89" s="135"/>
      <c r="J89" s="135"/>
    </row>
    <row r="91" spans="1:12">
      <c r="A91" s="135"/>
      <c r="L91" s="135"/>
    </row>
    <row r="97" spans="1:12">
      <c r="A97" s="135"/>
      <c r="L97" s="135"/>
    </row>
    <row r="113" spans="1:7">
      <c r="B113" s="135"/>
      <c r="C113" s="135"/>
      <c r="D113" s="135"/>
      <c r="E113" s="135"/>
      <c r="F113" s="135"/>
      <c r="G113" s="141"/>
    </row>
    <row r="121" spans="1:7">
      <c r="A121" s="135"/>
    </row>
  </sheetData>
  <printOptions horizontalCentered="1"/>
  <pageMargins left="0" right="0" top="0.75" bottom="0.25" header="0.5" footer="0.5"/>
  <pageSetup scale="95" orientation="portrait" r:id="rId1"/>
  <headerFooter alignWithMargins="0"/>
  <customProperties>
    <customPr name="_pios_id" r:id="rId2"/>
  </customPropertie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53</vt:i4>
      </vt:variant>
    </vt:vector>
  </HeadingPairs>
  <TitlesOfParts>
    <vt:vector size="92" baseType="lpstr">
      <vt:lpstr>Contents</vt:lpstr>
      <vt:lpstr>Submission</vt:lpstr>
      <vt:lpstr>T.4</vt:lpstr>
      <vt:lpstr>T.5</vt:lpstr>
      <vt:lpstr>T.6</vt:lpstr>
      <vt:lpstr>A.1</vt:lpstr>
      <vt:lpstr>A.2</vt:lpstr>
      <vt:lpstr>B.1</vt:lpstr>
      <vt:lpstr>B.2</vt:lpstr>
      <vt:lpstr>B.3</vt:lpstr>
      <vt:lpstr>B.4</vt:lpstr>
      <vt:lpstr>B.5</vt:lpstr>
      <vt:lpstr>B.6</vt:lpstr>
      <vt:lpstr>B.7</vt:lpstr>
      <vt:lpstr>B.8</vt:lpstr>
      <vt:lpstr>C.1</vt:lpstr>
      <vt:lpstr>C.2</vt:lpstr>
      <vt:lpstr>D.1</vt:lpstr>
      <vt:lpstr>D.2</vt:lpstr>
      <vt:lpstr>D.3</vt:lpstr>
      <vt:lpstr>D.4</vt:lpstr>
      <vt:lpstr>D.5</vt:lpstr>
      <vt:lpstr>D.6</vt:lpstr>
      <vt:lpstr>E.1</vt:lpstr>
      <vt:lpstr>E.2</vt:lpstr>
      <vt:lpstr>PBR</vt:lpstr>
      <vt:lpstr>PBR.1</vt:lpstr>
      <vt:lpstr>WorkPaper</vt:lpstr>
      <vt:lpstr>Control</vt:lpstr>
      <vt:lpstr>Checklist</vt:lpstr>
      <vt:lpstr>WP-D.1</vt:lpstr>
      <vt:lpstr>WP-E.1</vt:lpstr>
      <vt:lpstr>WP-T.1</vt:lpstr>
      <vt:lpstr>Data Mart Inputs</vt:lpstr>
      <vt:lpstr>AES Hedge Positions</vt:lpstr>
      <vt:lpstr>Storage</vt:lpstr>
      <vt:lpstr>Holidays</vt:lpstr>
      <vt:lpstr>Rate Validation</vt:lpstr>
      <vt:lpstr>SAP Request Form </vt:lpstr>
      <vt:lpstr>CF_Month_1</vt:lpstr>
      <vt:lpstr>CF_Month_2</vt:lpstr>
      <vt:lpstr>CF_Month_3</vt:lpstr>
      <vt:lpstr>Database_PBR_Savings</vt:lpstr>
      <vt:lpstr>DemandChargePerMdq</vt:lpstr>
      <vt:lpstr>EffectiveDate</vt:lpstr>
      <vt:lpstr>ExpectedCommodity</vt:lpstr>
      <vt:lpstr>PBR!FirmRefFactor</vt:lpstr>
      <vt:lpstr>PBR!int_rate</vt:lpstr>
      <vt:lpstr>PBR!InterRefFactor</vt:lpstr>
      <vt:lpstr>MarketAdjusted</vt:lpstr>
      <vt:lpstr>MarketPrice</vt:lpstr>
      <vt:lpstr>Month1</vt:lpstr>
      <vt:lpstr>Month2</vt:lpstr>
      <vt:lpstr>Month3</vt:lpstr>
      <vt:lpstr>NymexMonth1</vt:lpstr>
      <vt:lpstr>NymexMonth2</vt:lpstr>
      <vt:lpstr>NymexMonth3</vt:lpstr>
      <vt:lpstr>PriceCommodity</vt:lpstr>
      <vt:lpstr>PriceCommodityAdjusted</vt:lpstr>
      <vt:lpstr>A.1!Print_Area</vt:lpstr>
      <vt:lpstr>A.2!Print_Area</vt:lpstr>
      <vt:lpstr>B.1!Print_Area</vt:lpstr>
      <vt:lpstr>B.2!Print_Area</vt:lpstr>
      <vt:lpstr>B.3!Print_Area</vt:lpstr>
      <vt:lpstr>B.4!Print_Area</vt:lpstr>
      <vt:lpstr>B.5!Print_Area</vt:lpstr>
      <vt:lpstr>B.6!Print_Area</vt:lpstr>
      <vt:lpstr>B.7!Print_Area</vt:lpstr>
      <vt:lpstr>B.8!Print_Area</vt:lpstr>
      <vt:lpstr>C.1!Print_Area</vt:lpstr>
      <vt:lpstr>C.2!Print_Area</vt:lpstr>
      <vt:lpstr>Checklist!Print_Area</vt:lpstr>
      <vt:lpstr>D.1!Print_Area</vt:lpstr>
      <vt:lpstr>D.2!Print_Area</vt:lpstr>
      <vt:lpstr>D.3!Print_Area</vt:lpstr>
      <vt:lpstr>D.4!Print_Area</vt:lpstr>
      <vt:lpstr>'Data Mart Inputs'!Print_Area</vt:lpstr>
      <vt:lpstr>E.1!Print_Area</vt:lpstr>
      <vt:lpstr>E.2!Print_Area</vt:lpstr>
      <vt:lpstr>PBR!Print_Area</vt:lpstr>
      <vt:lpstr>PBR.1!Print_Area</vt:lpstr>
      <vt:lpstr>Storage!Print_Area</vt:lpstr>
      <vt:lpstr>T.4!Print_Area</vt:lpstr>
      <vt:lpstr>T.5!Print_Area</vt:lpstr>
      <vt:lpstr>T.6!Print_Area</vt:lpstr>
      <vt:lpstr>'WP-D.1'!Print_Area</vt:lpstr>
      <vt:lpstr>Checklist!Print_Titles</vt:lpstr>
      <vt:lpstr>rpt_Confidential</vt:lpstr>
      <vt:lpstr>rpt_PublicDisclosure</vt:lpstr>
      <vt:lpstr>tbl_TariffRevisions</vt:lpstr>
      <vt:lpstr>TexasGasNNS</vt:lpstr>
      <vt:lpstr>PBR!X_EX_E1</vt:lpstr>
    </vt:vector>
  </TitlesOfParts>
  <Company>Atmos Energy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Croissant, Anthony</dc:creator>
  <cp:lastModifiedBy>Eric  Wilen</cp:lastModifiedBy>
  <cp:lastPrinted>2015-12-03T19:47:30Z</cp:lastPrinted>
  <dcterms:created xsi:type="dcterms:W3CDTF">2012-10-03T12:42:31Z</dcterms:created>
  <dcterms:modified xsi:type="dcterms:W3CDTF">2015-12-03T19:48:10Z</dcterms:modified>
</cp:coreProperties>
</file>