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6390" windowWidth="28830" windowHeight="6450"/>
  </bookViews>
  <sheets>
    <sheet name="K " sheetId="2" r:id="rId1"/>
  </sheets>
  <externalReferences>
    <externalReference r:id="rId2"/>
    <externalReference r:id="rId3"/>
  </externalReferences>
  <definedNames>
    <definedName name="_Div012" localSheetId="0">#REF!</definedName>
    <definedName name="_Div012">#REF!</definedName>
    <definedName name="_Div02" localSheetId="0">#REF!</definedName>
    <definedName name="_Div02">#REF!</definedName>
    <definedName name="_Div091" localSheetId="0">#REF!</definedName>
    <definedName name="_Div091">#REF!</definedName>
    <definedName name="_Order1" hidden="1">255</definedName>
    <definedName name="Case_No._2006_00464" localSheetId="0">#REF!</definedName>
    <definedName name="Case_No._2006_00464">#REF!</definedName>
    <definedName name="COMPANY_NAME_TO_PRINT_ON_CHECK">'[1]Drop Down Lists'!$A$2:$A$23</definedName>
    <definedName name="csDesignMode">1</definedName>
    <definedName name="Div012Cap" localSheetId="0">#REF!</definedName>
    <definedName name="Div012Cap">#REF!</definedName>
    <definedName name="Div02Cap" localSheetId="0">#REF!</definedName>
    <definedName name="Div02Cap">#REF!</definedName>
    <definedName name="Div091Cap">#REF!</definedName>
    <definedName name="Div09cap">#REF!</definedName>
    <definedName name="EXPENDITURE_TYPE_LIST">'[1]Drop Down Lists'!$G$3:$G$13</definedName>
    <definedName name="kytax" localSheetId="0">#REF!</definedName>
    <definedName name="kytax">#REF!</definedName>
    <definedName name="ltdrate" localSheetId="0">#REF!</definedName>
    <definedName name="ltdrate">#REF!</definedName>
    <definedName name="PopCache_GL_INTERFACE_REFERENCE7" hidden="1">[2]PopCache!$A$1:$A$2</definedName>
    <definedName name="_xlnm.Print_Area" localSheetId="0">'K '!$A$1:$T$137</definedName>
    <definedName name="_xlnm.Print_Titles" localSheetId="0">'K '!$1:$13</definedName>
    <definedName name="RJ">#REF!</definedName>
    <definedName name="ROR" localSheetId="0">#REF!</definedName>
    <definedName name="ROR">#REF!</definedName>
    <definedName name="SPECIAL_INSTRUCTIONS">'[1]Drop Down Lists'!$J$3:$J$7</definedName>
    <definedName name="stdrate" localSheetId="0">#REF!</definedName>
    <definedName name="stdrate">#REF!</definedName>
    <definedName name="TYPE_OF_PAYMENT">'[1]Drop Down Lists'!$N$3:$N$13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2" l="1"/>
  <c r="H87" i="2"/>
  <c r="P130" i="2" l="1"/>
  <c r="O130" i="2"/>
  <c r="T130" i="2"/>
  <c r="S130" i="2"/>
  <c r="R130" i="2"/>
  <c r="Q130" i="2"/>
  <c r="N130" i="2"/>
  <c r="M130" i="2"/>
  <c r="L130" i="2"/>
  <c r="K130" i="2"/>
  <c r="J130" i="2"/>
  <c r="I130" i="2"/>
  <c r="T126" i="2"/>
  <c r="S126" i="2"/>
  <c r="R126" i="2"/>
  <c r="Q126" i="2"/>
  <c r="P126" i="2"/>
  <c r="O126" i="2"/>
  <c r="N126" i="2"/>
  <c r="M126" i="2"/>
  <c r="J126" i="2"/>
  <c r="I126" i="2"/>
  <c r="H125" i="2"/>
  <c r="G125" i="2"/>
  <c r="N124" i="2"/>
  <c r="M124" i="2"/>
  <c r="L124" i="2"/>
  <c r="K124" i="2"/>
  <c r="J124" i="2"/>
  <c r="I124" i="2"/>
  <c r="H124" i="2"/>
  <c r="G124" i="2"/>
  <c r="N123" i="2"/>
  <c r="M123" i="2"/>
  <c r="L123" i="2"/>
  <c r="K123" i="2"/>
  <c r="J123" i="2"/>
  <c r="I123" i="2"/>
  <c r="H123" i="2"/>
  <c r="G123" i="2"/>
  <c r="N122" i="2"/>
  <c r="M122" i="2"/>
  <c r="L122" i="2"/>
  <c r="K122" i="2"/>
  <c r="J122" i="2"/>
  <c r="I122" i="2"/>
  <c r="H122" i="2"/>
  <c r="G122" i="2"/>
  <c r="N121" i="2"/>
  <c r="M121" i="2"/>
  <c r="L121" i="2"/>
  <c r="L126" i="2" s="1"/>
  <c r="K121" i="2"/>
  <c r="K126" i="2" s="1"/>
  <c r="J121" i="2"/>
  <c r="I121" i="2"/>
  <c r="H121" i="2"/>
  <c r="H126" i="2" s="1"/>
  <c r="H132" i="2" s="1"/>
  <c r="H130" i="2" s="1"/>
  <c r="G121" i="2"/>
  <c r="G126" i="2" s="1"/>
  <c r="G132" i="2" s="1"/>
  <c r="G130" i="2" s="1"/>
  <c r="T100" i="2"/>
  <c r="S100" i="2"/>
  <c r="R100" i="2"/>
  <c r="Q100" i="2"/>
  <c r="P100" i="2"/>
  <c r="O100" i="2"/>
  <c r="N100" i="2"/>
  <c r="M100" i="2"/>
  <c r="L100" i="2"/>
  <c r="K100" i="2"/>
  <c r="J100" i="2"/>
  <c r="I100" i="2"/>
  <c r="S62" i="2"/>
  <c r="Q62" i="2"/>
  <c r="P62" i="2"/>
  <c r="O62" i="2"/>
  <c r="M62" i="2"/>
  <c r="L62" i="2"/>
  <c r="K62" i="2"/>
  <c r="H62" i="2"/>
  <c r="G62" i="2"/>
  <c r="Q60" i="2"/>
  <c r="P60" i="2"/>
  <c r="O60" i="2"/>
  <c r="M60" i="2"/>
  <c r="L60" i="2"/>
  <c r="K60" i="2"/>
  <c r="H60" i="2"/>
  <c r="G60" i="2"/>
  <c r="M59" i="2"/>
  <c r="L59" i="2"/>
  <c r="L67" i="2" s="1"/>
  <c r="T58" i="2"/>
  <c r="T61" i="2" s="1"/>
  <c r="T63" i="2" s="1"/>
  <c r="T65" i="2" s="1"/>
  <c r="S58" i="2"/>
  <c r="S61" i="2" s="1"/>
  <c r="S63" i="2" s="1"/>
  <c r="S65" i="2" s="1"/>
  <c r="Q58" i="2"/>
  <c r="Q61" i="2" s="1"/>
  <c r="Q63" i="2" s="1"/>
  <c r="Q65" i="2" s="1"/>
  <c r="P58" i="2"/>
  <c r="P61" i="2" s="1"/>
  <c r="P63" i="2" s="1"/>
  <c r="P65" i="2" s="1"/>
  <c r="O58" i="2"/>
  <c r="O61" i="2" s="1"/>
  <c r="O63" i="2" s="1"/>
  <c r="N58" i="2"/>
  <c r="N61" i="2" s="1"/>
  <c r="N63" i="2" s="1"/>
  <c r="J58" i="2"/>
  <c r="J61" i="2" s="1"/>
  <c r="J63" i="2" s="1"/>
  <c r="I58" i="2"/>
  <c r="I61" i="2" s="1"/>
  <c r="I63" i="2" s="1"/>
  <c r="P56" i="2"/>
  <c r="M56" i="2"/>
  <c r="M58" i="2" s="1"/>
  <c r="M61" i="2" s="1"/>
  <c r="M63" i="2" s="1"/>
  <c r="L56" i="2"/>
  <c r="L58" i="2" s="1"/>
  <c r="L61" i="2" s="1"/>
  <c r="L63" i="2" s="1"/>
  <c r="L65" i="2" s="1"/>
  <c r="K56" i="2"/>
  <c r="H56" i="2"/>
  <c r="G56" i="2"/>
  <c r="R53" i="2"/>
  <c r="R58" i="2" s="1"/>
  <c r="R61" i="2" s="1"/>
  <c r="R63" i="2" s="1"/>
  <c r="R65" i="2" s="1"/>
  <c r="M53" i="2"/>
  <c r="L53" i="2"/>
  <c r="K53" i="2"/>
  <c r="H53" i="2"/>
  <c r="H58" i="2" s="1"/>
  <c r="G53" i="2"/>
  <c r="M51" i="2"/>
  <c r="L51" i="2"/>
  <c r="K51" i="2"/>
  <c r="K58" i="2" s="1"/>
  <c r="K61" i="2" s="1"/>
  <c r="K63" i="2" s="1"/>
  <c r="H51" i="2"/>
  <c r="G51" i="2"/>
  <c r="G58" i="2" s="1"/>
  <c r="T48" i="2"/>
  <c r="S48" i="2"/>
  <c r="R48" i="2"/>
  <c r="Q48" i="2"/>
  <c r="P48" i="2"/>
  <c r="O48" i="2"/>
  <c r="M48" i="2"/>
  <c r="L48" i="2"/>
  <c r="K48" i="2"/>
  <c r="J48" i="2"/>
  <c r="I48" i="2"/>
  <c r="N46" i="2"/>
  <c r="N48" i="2" s="1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N26" i="2"/>
  <c r="M26" i="2"/>
  <c r="L26" i="2"/>
  <c r="K26" i="2"/>
  <c r="T25" i="2"/>
  <c r="T27" i="2" s="1"/>
  <c r="T36" i="2" s="1"/>
  <c r="S25" i="2"/>
  <c r="S27" i="2" s="1"/>
  <c r="S36" i="2" s="1"/>
  <c r="R25" i="2"/>
  <c r="R27" i="2" s="1"/>
  <c r="R36" i="2" s="1"/>
  <c r="Q25" i="2"/>
  <c r="Q27" i="2" s="1"/>
  <c r="Q36" i="2" s="1"/>
  <c r="P25" i="2"/>
  <c r="P27" i="2" s="1"/>
  <c r="P36" i="2" s="1"/>
  <c r="O25" i="2"/>
  <c r="O27" i="2" s="1"/>
  <c r="O36" i="2" s="1"/>
  <c r="N25" i="2"/>
  <c r="N27" i="2" s="1"/>
  <c r="N36" i="2" s="1"/>
  <c r="J25" i="2"/>
  <c r="J27" i="2" s="1"/>
  <c r="J36" i="2" s="1"/>
  <c r="I25" i="2"/>
  <c r="I27" i="2" s="1"/>
  <c r="I36" i="2" s="1"/>
  <c r="P23" i="2"/>
  <c r="M23" i="2"/>
  <c r="L23" i="2"/>
  <c r="K23" i="2"/>
  <c r="M22" i="2"/>
  <c r="L22" i="2"/>
  <c r="K22" i="2"/>
  <c r="M21" i="2"/>
  <c r="L21" i="2"/>
  <c r="L25" i="2" s="1"/>
  <c r="L27" i="2" s="1"/>
  <c r="L36" i="2" s="1"/>
  <c r="K21" i="2"/>
  <c r="M20" i="2"/>
  <c r="L20" i="2"/>
  <c r="K20" i="2"/>
  <c r="M19" i="2"/>
  <c r="L19" i="2"/>
  <c r="K19" i="2"/>
  <c r="H25" i="2"/>
  <c r="H27" i="2" s="1"/>
  <c r="H36" i="2" s="1"/>
  <c r="M17" i="2"/>
  <c r="M25" i="2" s="1"/>
  <c r="M27" i="2" s="1"/>
  <c r="M36" i="2" s="1"/>
  <c r="L17" i="2"/>
  <c r="K17" i="2"/>
  <c r="K25" i="2" s="1"/>
  <c r="K27" i="2" s="1"/>
  <c r="K36" i="2" s="1"/>
  <c r="G25" i="2"/>
  <c r="G27" i="2" s="1"/>
  <c r="G36" i="2" s="1"/>
  <c r="G61" i="2" l="1"/>
  <c r="G117" i="2"/>
  <c r="G116" i="2"/>
  <c r="O65" i="2"/>
  <c r="O69" i="2" s="1"/>
  <c r="O67" i="2"/>
  <c r="T67" i="2"/>
  <c r="T69" i="2"/>
  <c r="I67" i="2"/>
  <c r="I65" i="2"/>
  <c r="I69" i="2" s="1"/>
  <c r="P67" i="2"/>
  <c r="P69" i="2"/>
  <c r="K67" i="2"/>
  <c r="K65" i="2"/>
  <c r="K69" i="2" s="1"/>
  <c r="H117" i="2"/>
  <c r="H61" i="2"/>
  <c r="H116" i="2"/>
  <c r="R69" i="2"/>
  <c r="R67" i="2"/>
  <c r="J65" i="2"/>
  <c r="J69" i="2" s="1"/>
  <c r="J67" i="2"/>
  <c r="Q67" i="2"/>
  <c r="Q69" i="2"/>
  <c r="M69" i="2"/>
  <c r="G84" i="2"/>
  <c r="M65" i="2"/>
  <c r="M67" i="2"/>
  <c r="N65" i="2"/>
  <c r="N69" i="2" s="1"/>
  <c r="N67" i="2"/>
  <c r="S67" i="2"/>
  <c r="S69" i="2"/>
  <c r="G79" i="2"/>
  <c r="L69" i="2"/>
  <c r="H81" i="2" l="1"/>
  <c r="H63" i="2"/>
  <c r="H65" i="2" s="1"/>
  <c r="H83" i="2"/>
  <c r="H80" i="2"/>
  <c r="H84" i="2"/>
  <c r="H79" i="2"/>
  <c r="G83" i="2"/>
  <c r="G81" i="2"/>
  <c r="G63" i="2"/>
  <c r="G65" i="2" s="1"/>
  <c r="G80" i="2"/>
  <c r="G67" i="2" l="1"/>
  <c r="G69" i="2"/>
  <c r="H67" i="2"/>
  <c r="H69" i="2"/>
</calcChain>
</file>

<file path=xl/sharedStrings.xml><?xml version="1.0" encoding="utf-8"?>
<sst xmlns="http://schemas.openxmlformats.org/spreadsheetml/2006/main" count="245" uniqueCount="125">
  <si>
    <t>Comparative Financial Data</t>
  </si>
  <si>
    <t>and 10 Most Recent Calendar Years</t>
  </si>
  <si>
    <t>Data:__X___Base Period___X___Forecasted Period</t>
  </si>
  <si>
    <t>Schedule K</t>
  </si>
  <si>
    <t>Type of Filing:_______Original________Updated ____X____Revised</t>
  </si>
  <si>
    <t>Sheet 1 of 4</t>
  </si>
  <si>
    <t>Workpaper Reference No(s).____________________</t>
  </si>
  <si>
    <t>Line</t>
  </si>
  <si>
    <t>Forecasted</t>
  </si>
  <si>
    <t>Base</t>
  </si>
  <si>
    <t>Most Recent Ten Calendar Years - as Reported</t>
  </si>
  <si>
    <t>No.</t>
  </si>
  <si>
    <t>Description</t>
  </si>
  <si>
    <t>Period</t>
  </si>
  <si>
    <t xml:space="preserve"> </t>
  </si>
  <si>
    <t>Plant Data: ($000)</t>
  </si>
  <si>
    <t xml:space="preserve">   Plant in Service by functional class:</t>
  </si>
  <si>
    <t xml:space="preserve">   Intangible Plant</t>
  </si>
  <si>
    <t xml:space="preserve">   Production &amp; Gathering Plant</t>
  </si>
  <si>
    <t xml:space="preserve">   Underground Storage</t>
  </si>
  <si>
    <t xml:space="preserve">   Transmission Plant</t>
  </si>
  <si>
    <t xml:space="preserve">   Distribution Plant</t>
  </si>
  <si>
    <t xml:space="preserve">   General Plant</t>
  </si>
  <si>
    <t xml:space="preserve">    Acquisition Adjustments</t>
  </si>
  <si>
    <t xml:space="preserve">    Gross Plant</t>
  </si>
  <si>
    <t xml:space="preserve">   Less:  Accumulated depreciation</t>
  </si>
  <si>
    <t xml:space="preserve">   Net plant in Service</t>
  </si>
  <si>
    <t xml:space="preserve">  Construction Work in Progress</t>
  </si>
  <si>
    <t xml:space="preserve">    Total CWIP</t>
  </si>
  <si>
    <t>Total</t>
  </si>
  <si>
    <t>% of Construction financed internally</t>
  </si>
  <si>
    <t>Capital structure:(Total Company)</t>
  </si>
  <si>
    <t>(based on fiscal year-end accounts))</t>
  </si>
  <si>
    <t xml:space="preserve">  Short-term debt ($000)</t>
  </si>
  <si>
    <t xml:space="preserve">  Long-term debt ($000)</t>
  </si>
  <si>
    <t xml:space="preserve">  Preferred stock ($000)</t>
  </si>
  <si>
    <t xml:space="preserve">  Common equity ($000)</t>
  </si>
  <si>
    <t>Condensed Income Statement data: ($000)</t>
  </si>
  <si>
    <t xml:space="preserve">  Operating Revenues </t>
  </si>
  <si>
    <t xml:space="preserve">  Operating Expenses (excludes Federal</t>
  </si>
  <si>
    <t xml:space="preserve">  and State Taxes, includes gas cost) </t>
  </si>
  <si>
    <t xml:space="preserve">  State Income Tax (current))</t>
  </si>
  <si>
    <t xml:space="preserve">  Federal Income Tax (current)</t>
  </si>
  <si>
    <t xml:space="preserve">  Federal and State Income Tax - net</t>
  </si>
  <si>
    <t xml:space="preserve">  Investment  tax credits</t>
  </si>
  <si>
    <t xml:space="preserve">  Operating Income</t>
  </si>
  <si>
    <t xml:space="preserve">  AFUDC</t>
  </si>
  <si>
    <t xml:space="preserve">  Other Income net</t>
  </si>
  <si>
    <t xml:space="preserve">  Income available for fixed charges</t>
  </si>
  <si>
    <t xml:space="preserve">  Interest charges</t>
  </si>
  <si>
    <t xml:space="preserve">  Net Income</t>
  </si>
  <si>
    <t xml:space="preserve">  Preferred dividends accrual</t>
  </si>
  <si>
    <t>N/A</t>
  </si>
  <si>
    <t xml:space="preserve">  Earnings available for common equity</t>
  </si>
  <si>
    <t xml:space="preserve">  AFUDC - % of Net Income</t>
  </si>
  <si>
    <t xml:space="preserve">  AFUDC - % of earnings available for </t>
  </si>
  <si>
    <t xml:space="preserve">   common equity</t>
  </si>
  <si>
    <t>Costs of Capital</t>
  </si>
  <si>
    <t xml:space="preserve">  Embedded cost of short-term debt (%)</t>
  </si>
  <si>
    <t xml:space="preserve">  Embedded cost of long-term debt  (%)</t>
  </si>
  <si>
    <t xml:space="preserve">  Embedded cost of preferred stock (%)</t>
  </si>
  <si>
    <t>Fixed Charge Coverage: (1)</t>
  </si>
  <si>
    <t xml:space="preserve">  Pre-Tax Interest Coverage </t>
  </si>
  <si>
    <t xml:space="preserve">  Pre-Tax Interest Coverage (Excluding AFUDC)</t>
  </si>
  <si>
    <t xml:space="preserve">  After Tax Interest Coverage  </t>
  </si>
  <si>
    <t xml:space="preserve">  SEC Coverage</t>
  </si>
  <si>
    <t xml:space="preserve">  After Tax Interest Coverage (Excluding AFUDC)</t>
  </si>
  <si>
    <t xml:space="preserve">  After Tax Fixed Charge Coverage</t>
  </si>
  <si>
    <t>Stock and Bond Ratings: (1)</t>
  </si>
  <si>
    <t xml:space="preserve">  Moody's Bond Rating</t>
  </si>
  <si>
    <t>Baa2</t>
  </si>
  <si>
    <t>A2</t>
  </si>
  <si>
    <t>Baa1</t>
  </si>
  <si>
    <t>Baa3</t>
  </si>
  <si>
    <t>A3</t>
  </si>
  <si>
    <t xml:space="preserve">  S&amp;P Bond Rating</t>
  </si>
  <si>
    <t>BBB</t>
  </si>
  <si>
    <t>A-</t>
  </si>
  <si>
    <t>BBB+</t>
  </si>
  <si>
    <t xml:space="preserve">  Moody's Preferred Stock Rating</t>
  </si>
  <si>
    <t xml:space="preserve">  S&amp;P Preferred Stock Rating</t>
  </si>
  <si>
    <t>Common Stock Related Data: (1)</t>
  </si>
  <si>
    <t xml:space="preserve">  Shares Outstanding Year End (000)</t>
  </si>
  <si>
    <t xml:space="preserve">  Shares Outstanding - Weighted</t>
  </si>
  <si>
    <t xml:space="preserve">   Average Diluted at Fiscal Year End (000)</t>
  </si>
  <si>
    <t xml:space="preserve">  Diluted Earnings Per Share - Weighted Avg. ($)</t>
  </si>
  <si>
    <t xml:space="preserve">  Dividends Paid Per Share ($)</t>
  </si>
  <si>
    <t xml:space="preserve">  Dividends Declared Per Share ($)</t>
  </si>
  <si>
    <t xml:space="preserve">  Dividend Payout Ratio (Declared</t>
  </si>
  <si>
    <t xml:space="preserve">   Basis) (%)</t>
  </si>
  <si>
    <t xml:space="preserve">  Market Price - High (Low)</t>
  </si>
  <si>
    <t xml:space="preserve">   1st Quarter - High ($)</t>
  </si>
  <si>
    <t xml:space="preserve">   1st Quarter - Low ($)</t>
  </si>
  <si>
    <t xml:space="preserve">   2nd Quarter - High ($)</t>
  </si>
  <si>
    <t xml:space="preserve">   2nd Quarter - Low ($)</t>
  </si>
  <si>
    <t xml:space="preserve">   3rd Quarter - High ($)</t>
  </si>
  <si>
    <t xml:space="preserve">   3rd Quarter - Low ($)</t>
  </si>
  <si>
    <t xml:space="preserve">   4th Quarter - High ($)</t>
  </si>
  <si>
    <t xml:space="preserve">   4th Quarter - Low ($)</t>
  </si>
  <si>
    <t xml:space="preserve">  Book Amount Per Share (Year-end) ($)</t>
  </si>
  <si>
    <t>(1) Based on fiscal year-end of parent company</t>
  </si>
  <si>
    <t>Rate of Return Measures (1)</t>
  </si>
  <si>
    <t xml:space="preserve">  Return On Common Equity (Average)</t>
  </si>
  <si>
    <t xml:space="preserve">  Return On Total Capital (Average)</t>
  </si>
  <si>
    <t xml:space="preserve">  Return On Net Plant in Service (Average)</t>
  </si>
  <si>
    <t>Other Financial and Operating Data:</t>
  </si>
  <si>
    <t xml:space="preserve">  Mix of Sales:</t>
  </si>
  <si>
    <t>(MMcf)</t>
  </si>
  <si>
    <t xml:space="preserve">   Residential</t>
  </si>
  <si>
    <t xml:space="preserve">   Commercial</t>
  </si>
  <si>
    <t xml:space="preserve">   Industrial</t>
  </si>
  <si>
    <t xml:space="preserve">   Public authority &amp; Other Sales</t>
  </si>
  <si>
    <t>Unbilled</t>
  </si>
  <si>
    <t xml:space="preserve">  Total Mix of Sales</t>
  </si>
  <si>
    <t xml:space="preserve">  Mix of Fuel:</t>
  </si>
  <si>
    <t xml:space="preserve">   Other</t>
  </si>
  <si>
    <t xml:space="preserve">  Total MIX of Fuel (2)</t>
  </si>
  <si>
    <t>Composite Depreciation Rate</t>
  </si>
  <si>
    <t>(1) Based on fiscal year-end of parent company, except for Base Period &amp; Test Period which are based on Atmos Energy Corporation, Kentucky.</t>
  </si>
  <si>
    <t>(2) Kentucky gas purchases by accounting month.</t>
  </si>
  <si>
    <t>Atmos Energy Corporation, Kentucky/Mid-States Division</t>
  </si>
  <si>
    <t>Base Period: Twelve Months Ended February 29, 2016</t>
  </si>
  <si>
    <t>Forecasted Test Period: Twelve Months Ended May 31, 2017</t>
  </si>
  <si>
    <t>Kentucky Jurisdiction Case No. 2015-00343</t>
  </si>
  <si>
    <t>Witness:  G. Waller, Schneider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</si>
</sst>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mm/dd/yy_)"/>
    <numFmt numFmtId="165" formatCode="hh:mm:ss_)"/>
    <numFmt numFmtId="166" formatCode="0.00_)"/>
    <numFmt numFmtId="167" formatCode="#,##0.000_);\(#,##0.000\)"/>
    <numFmt numFmtId="168" formatCode="0.0%"/>
    <numFmt numFmtId="169" formatCode="_(* #,##0_);_(* \(#,##0\);_(* &quot;-&quot;??_);_(@_)"/>
  </numFmts>
  <fonts count="11">
    <font>
      <sz val="12"/>
      <name val="Helvetica-Narrow"/>
      <family val="2"/>
    </font>
    <font>
      <sz val="12"/>
      <name val="Helvetica-Narrow"/>
      <family val="2"/>
    </font>
    <font>
      <sz val="12"/>
      <name val="Helvetica-Narrow"/>
    </font>
    <font>
      <u/>
      <sz val="12"/>
      <name val="Helvetica-Narrow"/>
      <family val="2"/>
    </font>
    <font>
      <sz val="12"/>
      <color indexed="12"/>
      <name val="Helvetica-Narrow"/>
    </font>
    <font>
      <sz val="12"/>
      <color indexed="17"/>
      <name val="Helvetica-Narrow"/>
      <family val="2"/>
    </font>
    <font>
      <u val="double"/>
      <sz val="12"/>
      <name val="Helvetica-Narrow"/>
      <family val="2"/>
    </font>
    <font>
      <u/>
      <sz val="12"/>
      <name val="Helvetica-Narrow"/>
    </font>
    <font>
      <sz val="12"/>
      <color indexed="12"/>
      <name val="Helvetica-Narrow"/>
      <family val="2"/>
    </font>
    <font>
      <u val="double"/>
      <sz val="12"/>
      <color indexed="61"/>
      <name val="Helvetica-Narrow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37" fontId="0" fillId="0" borderId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3">
    <xf numFmtId="37" fontId="0" fillId="0" borderId="0" xfId="0"/>
    <xf numFmtId="37" fontId="1" fillId="0" borderId="0" xfId="0" applyFont="1"/>
    <xf numFmtId="164" fontId="1" fillId="0" borderId="0" xfId="0" applyNumberFormat="1" applyFont="1" applyProtection="1"/>
    <xf numFmtId="165" fontId="1" fillId="0" borderId="0" xfId="0" applyNumberFormat="1" applyFont="1" applyProtection="1"/>
    <xf numFmtId="37" fontId="1" fillId="0" borderId="0" xfId="0" applyFont="1" applyAlignment="1" applyProtection="1">
      <alignment horizontal="center"/>
    </xf>
    <xf numFmtId="37" fontId="1" fillId="0" borderId="0" xfId="0" applyFont="1" applyFill="1"/>
    <xf numFmtId="37" fontId="1" fillId="0" borderId="0" xfId="0" applyFont="1" applyAlignment="1" applyProtection="1">
      <alignment horizontal="left"/>
    </xf>
    <xf numFmtId="37" fontId="2" fillId="0" borderId="0" xfId="0" applyFont="1" applyAlignment="1" applyProtection="1">
      <alignment horizontal="left"/>
    </xf>
    <xf numFmtId="37" fontId="1" fillId="0" borderId="1" xfId="0" applyFont="1" applyBorder="1" applyAlignment="1" applyProtection="1">
      <alignment horizontal="left"/>
    </xf>
    <xf numFmtId="37" fontId="1" fillId="0" borderId="1" xfId="0" applyFont="1" applyBorder="1"/>
    <xf numFmtId="37" fontId="1" fillId="0" borderId="1" xfId="0" applyFont="1" applyFill="1" applyBorder="1"/>
    <xf numFmtId="37" fontId="1" fillId="0" borderId="0" xfId="0" applyFont="1" applyFill="1" applyAlignment="1" applyProtection="1">
      <alignment horizontal="center"/>
    </xf>
    <xf numFmtId="0" fontId="0" fillId="0" borderId="2" xfId="0" applyNumberFormat="1" applyFont="1" applyBorder="1" applyAlignment="1" applyProtection="1">
      <alignment horizontal="center"/>
    </xf>
    <xf numFmtId="0" fontId="0" fillId="0" borderId="1" xfId="0" applyNumberFormat="1" applyFont="1" applyBorder="1" applyAlignment="1" applyProtection="1">
      <alignment horizontal="center"/>
    </xf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0" fillId="0" borderId="0" xfId="0" applyFont="1"/>
    <xf numFmtId="37" fontId="1" fillId="0" borderId="0" xfId="0" applyNumberFormat="1" applyFont="1" applyProtection="1"/>
    <xf numFmtId="37" fontId="0" fillId="0" borderId="0" xfId="0" applyFont="1" applyFill="1"/>
    <xf numFmtId="37" fontId="1" fillId="0" borderId="0" xfId="0" applyNumberFormat="1" applyFont="1" applyFill="1" applyProtection="1"/>
    <xf numFmtId="37" fontId="0" fillId="0" borderId="0" xfId="0" applyNumberFormat="1" applyFont="1" applyFill="1" applyProtection="1"/>
    <xf numFmtId="37" fontId="0" fillId="0" borderId="0" xfId="0" applyNumberFormat="1" applyFont="1" applyProtection="1"/>
    <xf numFmtId="37" fontId="1" fillId="0" borderId="1" xfId="0" applyNumberFormat="1" applyFont="1" applyFill="1" applyBorder="1" applyProtection="1"/>
    <xf numFmtId="37" fontId="0" fillId="0" borderId="1" xfId="0" applyNumberFormat="1" applyFont="1" applyFill="1" applyBorder="1" applyProtection="1"/>
    <xf numFmtId="37" fontId="0" fillId="0" borderId="1" xfId="0" applyNumberFormat="1" applyFont="1" applyBorder="1" applyProtection="1"/>
    <xf numFmtId="37" fontId="0" fillId="0" borderId="1" xfId="0" applyFont="1" applyBorder="1" applyProtection="1"/>
    <xf numFmtId="37" fontId="6" fillId="0" borderId="0" xfId="0" applyNumberFormat="1" applyFont="1" applyProtection="1"/>
    <xf numFmtId="10" fontId="6" fillId="0" borderId="0" xfId="0" applyNumberFormat="1" applyFont="1" applyFill="1" applyProtection="1"/>
    <xf numFmtId="10" fontId="6" fillId="0" borderId="0" xfId="0" applyNumberFormat="1" applyFont="1" applyProtection="1"/>
    <xf numFmtId="37" fontId="7" fillId="0" borderId="0" xfId="0" applyFont="1"/>
    <xf numFmtId="166" fontId="1" fillId="0" borderId="0" xfId="0" applyNumberFormat="1" applyFont="1" applyProtection="1"/>
    <xf numFmtId="37" fontId="0" fillId="0" borderId="0" xfId="0" applyNumberFormat="1" applyFont="1" applyFill="1" applyProtection="1">
      <protection locked="0"/>
    </xf>
    <xf numFmtId="37" fontId="0" fillId="0" borderId="0" xfId="0" applyNumberFormat="1" applyFont="1" applyFill="1" applyAlignment="1" applyProtection="1">
      <alignment horizontal="right"/>
    </xf>
    <xf numFmtId="37" fontId="0" fillId="0" borderId="0" xfId="0" applyNumberFormat="1" applyFont="1" applyAlignment="1" applyProtection="1">
      <alignment horizontal="right"/>
    </xf>
    <xf numFmtId="37" fontId="0" fillId="0" borderId="1" xfId="0" applyNumberFormat="1" applyFont="1" applyFill="1" applyBorder="1" applyProtection="1">
      <protection locked="0"/>
    </xf>
    <xf numFmtId="37" fontId="0" fillId="0" borderId="1" xfId="0" applyNumberFormat="1" applyFont="1" applyBorder="1" applyProtection="1">
      <protection locked="0"/>
    </xf>
    <xf numFmtId="37" fontId="2" fillId="0" borderId="0" xfId="0" applyNumberFormat="1" applyFont="1" applyFill="1" applyProtection="1">
      <protection locked="0"/>
    </xf>
    <xf numFmtId="37" fontId="8" fillId="0" borderId="0" xfId="0" applyNumberFormat="1" applyFont="1" applyFill="1" applyProtection="1">
      <protection locked="0"/>
    </xf>
    <xf numFmtId="37" fontId="8" fillId="0" borderId="1" xfId="0" applyNumberFormat="1" applyFont="1" applyFill="1" applyBorder="1" applyProtection="1">
      <protection locked="0"/>
    </xf>
    <xf numFmtId="37" fontId="2" fillId="0" borderId="1" xfId="0" applyNumberFormat="1" applyFont="1" applyFill="1" applyBorder="1" applyProtection="1">
      <protection locked="0"/>
    </xf>
    <xf numFmtId="37" fontId="0" fillId="0" borderId="1" xfId="0" applyNumberFormat="1" applyFont="1" applyFill="1" applyBorder="1" applyAlignment="1" applyProtection="1">
      <alignment horizontal="right"/>
    </xf>
    <xf numFmtId="10" fontId="0" fillId="0" borderId="0" xfId="0" applyNumberFormat="1" applyFont="1" applyFill="1" applyProtection="1"/>
    <xf numFmtId="10" fontId="0" fillId="0" borderId="0" xfId="0" applyNumberFormat="1" applyFont="1" applyProtection="1"/>
    <xf numFmtId="39" fontId="0" fillId="0" borderId="0" xfId="0" applyNumberFormat="1" applyFont="1" applyFill="1"/>
    <xf numFmtId="10" fontId="1" fillId="0" borderId="0" xfId="0" applyNumberFormat="1" applyFont="1" applyFill="1" applyProtection="1"/>
    <xf numFmtId="39" fontId="1" fillId="0" borderId="0" xfId="0" applyNumberFormat="1" applyFont="1" applyFill="1" applyProtection="1"/>
    <xf numFmtId="39" fontId="0" fillId="0" borderId="0" xfId="0" applyNumberFormat="1" applyFont="1" applyFill="1" applyProtection="1"/>
    <xf numFmtId="39" fontId="0" fillId="0" borderId="0" xfId="0" applyNumberFormat="1" applyFont="1" applyProtection="1"/>
    <xf numFmtId="39" fontId="0" fillId="0" borderId="0" xfId="0" applyNumberFormat="1" applyFont="1" applyFill="1" applyAlignment="1" applyProtection="1">
      <alignment horizontal="right"/>
    </xf>
    <xf numFmtId="39" fontId="0" fillId="0" borderId="0" xfId="0" applyNumberFormat="1" applyFont="1" applyAlignment="1" applyProtection="1">
      <alignment horizontal="right"/>
    </xf>
    <xf numFmtId="10" fontId="1" fillId="0" borderId="0" xfId="0" applyNumberFormat="1" applyFont="1" applyProtection="1"/>
    <xf numFmtId="37" fontId="1" fillId="0" borderId="0" xfId="0" applyNumberFormat="1" applyFont="1" applyFill="1" applyAlignment="1" applyProtection="1">
      <alignment horizontal="right"/>
    </xf>
    <xf numFmtId="37" fontId="0" fillId="0" borderId="0" xfId="0" applyFont="1" applyAlignment="1" applyProtection="1">
      <alignment horizontal="left"/>
    </xf>
    <xf numFmtId="39" fontId="1" fillId="0" borderId="0" xfId="0" applyNumberFormat="1" applyFont="1" applyFill="1" applyAlignment="1" applyProtection="1">
      <alignment horizontal="right"/>
    </xf>
    <xf numFmtId="9" fontId="0" fillId="0" borderId="0" xfId="2" applyFont="1" applyFill="1" applyProtection="1"/>
    <xf numFmtId="9" fontId="0" fillId="0" borderId="0" xfId="0" applyNumberFormat="1" applyFont="1" applyAlignment="1" applyProtection="1">
      <alignment horizontal="right"/>
    </xf>
    <xf numFmtId="39" fontId="0" fillId="0" borderId="0" xfId="0" applyNumberFormat="1" applyFont="1" applyFill="1" applyAlignment="1" applyProtection="1"/>
    <xf numFmtId="167" fontId="0" fillId="0" borderId="0" xfId="0" applyNumberFormat="1" applyFont="1" applyFill="1" applyProtection="1"/>
    <xf numFmtId="167" fontId="0" fillId="0" borderId="0" xfId="0" applyNumberFormat="1" applyFont="1" applyProtection="1"/>
    <xf numFmtId="168" fontId="1" fillId="0" borderId="0" xfId="0" applyNumberFormat="1" applyFont="1" applyFill="1" applyAlignment="1" applyProtection="1">
      <alignment horizontal="right"/>
    </xf>
    <xf numFmtId="168" fontId="0" fillId="0" borderId="0" xfId="0" applyNumberFormat="1" applyFont="1" applyFill="1" applyProtection="1"/>
    <xf numFmtId="168" fontId="0" fillId="0" borderId="0" xfId="0" applyNumberFormat="1" applyFont="1" applyProtection="1"/>
    <xf numFmtId="168" fontId="1" fillId="0" borderId="0" xfId="0" applyNumberFormat="1" applyFont="1" applyFill="1" applyProtection="1"/>
    <xf numFmtId="37" fontId="1" fillId="0" borderId="0" xfId="0" applyFont="1" applyAlignment="1">
      <alignment horizontal="left" indent="1"/>
    </xf>
    <xf numFmtId="37" fontId="1" fillId="0" borderId="3" xfId="0" applyNumberFormat="1" applyFont="1" applyFill="1" applyBorder="1" applyProtection="1"/>
    <xf numFmtId="37" fontId="0" fillId="0" borderId="3" xfId="0" applyNumberFormat="1" applyFont="1" applyFill="1" applyBorder="1" applyProtection="1"/>
    <xf numFmtId="37" fontId="0" fillId="0" borderId="3" xfId="0" applyNumberFormat="1" applyFont="1" applyBorder="1" applyProtection="1"/>
    <xf numFmtId="169" fontId="0" fillId="0" borderId="0" xfId="1" applyNumberFormat="1" applyFont="1" applyFill="1" applyProtection="1"/>
    <xf numFmtId="37" fontId="1" fillId="0" borderId="1" xfId="0" applyFont="1" applyBorder="1" applyAlignment="1" applyProtection="1">
      <alignment horizontal="center"/>
    </xf>
    <xf numFmtId="37" fontId="6" fillId="0" borderId="0" xfId="0" applyNumberFormat="1" applyFont="1" applyFill="1" applyProtection="1"/>
    <xf numFmtId="9" fontId="0" fillId="0" borderId="0" xfId="0" applyNumberFormat="1" applyFont="1" applyFill="1" applyAlignment="1" applyProtection="1">
      <alignment horizontal="right"/>
    </xf>
    <xf numFmtId="167" fontId="0" fillId="0" borderId="0" xfId="0" applyNumberFormat="1" applyFont="1" applyFill="1" applyAlignment="1" applyProtection="1"/>
    <xf numFmtId="37" fontId="1" fillId="0" borderId="1" xfId="0" applyFont="1" applyFill="1" applyBorder="1" applyAlignment="1" applyProtection="1">
      <alignment horizontal="center"/>
    </xf>
    <xf numFmtId="37" fontId="4" fillId="0" borderId="0" xfId="0" applyNumberFormat="1" applyFont="1" applyFill="1" applyProtection="1"/>
    <xf numFmtId="37" fontId="5" fillId="0" borderId="1" xfId="0" applyNumberFormat="1" applyFont="1" applyFill="1" applyBorder="1" applyProtection="1"/>
    <xf numFmtId="37" fontId="5" fillId="0" borderId="3" xfId="0" applyNumberFormat="1" applyFont="1" applyFill="1" applyBorder="1" applyProtection="1"/>
    <xf numFmtId="37" fontId="1" fillId="0" borderId="0" xfId="0" applyNumberFormat="1" applyFont="1" applyFill="1" applyBorder="1" applyProtection="1"/>
    <xf numFmtId="37" fontId="9" fillId="0" borderId="0" xfId="0" applyNumberFormat="1" applyFont="1" applyFill="1" applyProtection="1"/>
    <xf numFmtId="37" fontId="1" fillId="0" borderId="1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Alignment="1" applyProtection="1">
      <alignment horizontal="right"/>
    </xf>
    <xf numFmtId="37" fontId="2" fillId="0" borderId="0" xfId="0" applyNumberFormat="1" applyFont="1" applyFill="1" applyProtection="1"/>
    <xf numFmtId="37" fontId="1" fillId="0" borderId="1" xfId="0" applyFont="1" applyBorder="1" applyAlignment="1" applyProtection="1">
      <alignment horizontal="center"/>
    </xf>
    <xf numFmtId="37" fontId="1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n%20Utility%20Business%20Services\FY%202001\Jun%2001\Energy%20Services%20Companies-Retail\Check%20Request%20Jun%2001%20Pm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Amanda's%20ADI%20Vouchers\FY2013\January%202013\Uploaded\010-109%20MTM%20Jan-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s"/>
      <sheetName val="Check Request Form"/>
      <sheetName val="Sheet1"/>
    </sheetNames>
    <sheetDataSet>
      <sheetData sheetId="0" refreshError="1">
        <row r="2">
          <cell r="A2" t="str">
            <v>Atmos Exploration &amp; Production, Inc. (frmly WKGR)</v>
          </cell>
        </row>
        <row r="3">
          <cell r="A3" t="str">
            <v xml:space="preserve">Atmos Energy Marketing, LLC </v>
          </cell>
          <cell r="G3" t="str">
            <v>Meals and Ent.</v>
          </cell>
          <cell r="J3" t="str">
            <v>Separate Check and Special Handle</v>
          </cell>
          <cell r="N3" t="str">
            <v>Standard</v>
          </cell>
        </row>
        <row r="4">
          <cell r="A4" t="str">
            <v>Atmos Leasing, Inc.</v>
          </cell>
          <cell r="G4" t="str">
            <v>Travel</v>
          </cell>
          <cell r="J4" t="str">
            <v>Special Handle</v>
          </cell>
          <cell r="N4" t="str">
            <v>Recurring Payment</v>
          </cell>
        </row>
        <row r="5">
          <cell r="A5" t="str">
            <v>Atmos Storage, Inc.</v>
          </cell>
          <cell r="G5" t="str">
            <v>Lodging</v>
          </cell>
          <cell r="J5" t="str">
            <v xml:space="preserve">Separate Check </v>
          </cell>
          <cell r="N5" t="str">
            <v>One Time Payment to Vendor</v>
          </cell>
        </row>
        <row r="6">
          <cell r="A6" t="str">
            <v>Atmos Energy Corporation (Shared Scvs or Non-Reg Shared Svcs)</v>
          </cell>
          <cell r="G6" t="str">
            <v>Other Employee Exp.</v>
          </cell>
          <cell r="J6" t="str">
            <v>Other</v>
          </cell>
          <cell r="N6" t="str">
            <v>Customer Mail Refund</v>
          </cell>
        </row>
        <row r="7">
          <cell r="A7" t="str">
            <v>Atmos Energy Services, Inc.</v>
          </cell>
          <cell r="G7" t="str">
            <v>Political Activities</v>
          </cell>
          <cell r="N7" t="str">
            <v>Main Extension Contract Refund</v>
          </cell>
        </row>
        <row r="8">
          <cell r="A8" t="str">
            <v>Egasco, LLC</v>
          </cell>
          <cell r="G8" t="str">
            <v>Spousal &amp; Dep. Travel</v>
          </cell>
          <cell r="N8" t="str">
            <v>Prepayment (Exp. Advance) (no account coding)</v>
          </cell>
        </row>
        <row r="9">
          <cell r="A9" t="str">
            <v>Energas Company</v>
          </cell>
          <cell r="G9" t="str">
            <v>Personal Veh Mileage</v>
          </cell>
        </row>
        <row r="10">
          <cell r="A10" t="str">
            <v>Energas Energy ServicesTrust</v>
          </cell>
          <cell r="G10" t="str">
            <v>MEC (Main Ext. Contract)</v>
          </cell>
        </row>
        <row r="11">
          <cell r="A11" t="str">
            <v>Enertrust, Inc.(frmly Enermart, Inc )</v>
          </cell>
          <cell r="G11" t="str">
            <v>Vehicle Expense</v>
          </cell>
        </row>
        <row r="12">
          <cell r="A12" t="str">
            <v>Enermart Energy Services Trust (frmly Enermart Trust)</v>
          </cell>
        </row>
        <row r="13">
          <cell r="A13" t="str">
            <v>Greeley Gas Company</v>
          </cell>
        </row>
        <row r="14">
          <cell r="A14" t="str">
            <v>Greeley Energy Services, Inc.</v>
          </cell>
        </row>
        <row r="15">
          <cell r="A15" t="str">
            <v>Trans Louisiana Gas Company</v>
          </cell>
        </row>
        <row r="16">
          <cell r="A16" t="str">
            <v>Trans Louisiana Industrial Gas Company, Inc.(TLIG)</v>
          </cell>
        </row>
        <row r="17">
          <cell r="A17" t="str">
            <v>Trans Louisiana Energy Services, Inc.</v>
          </cell>
        </row>
        <row r="18">
          <cell r="A18" t="str">
            <v>United Cities Gas Company</v>
          </cell>
        </row>
        <row r="19">
          <cell r="A19" t="str">
            <v>United Cities Energy Services, Inc.</v>
          </cell>
        </row>
        <row r="20">
          <cell r="A20" t="str">
            <v>UCG Storage, Inc.</v>
          </cell>
        </row>
        <row r="21">
          <cell r="A21" t="str">
            <v>Western Kentucky Gas Company</v>
          </cell>
        </row>
        <row r="22">
          <cell r="A22" t="str">
            <v>Western Kentucky Energy Services, Inc.</v>
          </cell>
        </row>
        <row r="23">
          <cell r="A23" t="str">
            <v>WKG Storage, Inc.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8"/>
  <sheetViews>
    <sheetView tabSelected="1" zoomScale="75" zoomScaleNormal="75" workbookViewId="0">
      <pane xSplit="6" ySplit="13" topLeftCell="G14" activePane="bottomRight" state="frozen"/>
      <selection activeCell="Q19" sqref="Q19"/>
      <selection pane="topRight" activeCell="Q19" sqref="Q19"/>
      <selection pane="bottomLeft" activeCell="Q19" sqref="Q19"/>
      <selection pane="bottomRight" sqref="A1:T1"/>
    </sheetView>
  </sheetViews>
  <sheetFormatPr defaultColWidth="6.44140625" defaultRowHeight="15"/>
  <cols>
    <col min="1" max="1" width="5.77734375" style="1" customWidth="1"/>
    <col min="2" max="2" width="11.44140625" style="1" customWidth="1"/>
    <col min="3" max="4" width="6.44140625" style="1"/>
    <col min="5" max="5" width="7.109375" style="1" customWidth="1"/>
    <col min="6" max="6" width="7.33203125" style="1" customWidth="1"/>
    <col min="7" max="7" width="11.77734375" style="1" bestFit="1" customWidth="1"/>
    <col min="8" max="8" width="12.44140625" style="1" bestFit="1" customWidth="1"/>
    <col min="9" max="10" width="12.44140625" style="5" customWidth="1"/>
    <col min="11" max="14" width="12.44140625" style="1" customWidth="1"/>
    <col min="15" max="15" width="11.6640625" style="1" customWidth="1"/>
    <col min="16" max="16" width="9.44140625" style="1" bestFit="1" customWidth="1"/>
    <col min="17" max="17" width="9.77734375" style="1" bestFit="1" customWidth="1"/>
    <col min="18" max="18" width="9.44140625" style="1" bestFit="1" customWidth="1"/>
    <col min="19" max="20" width="9.77734375" style="1" bestFit="1" customWidth="1"/>
    <col min="21" max="21" width="7.109375" style="1" customWidth="1"/>
    <col min="22" max="24" width="6.44140625" style="1"/>
    <col min="25" max="25" width="10.6640625" style="1" customWidth="1"/>
    <col min="26" max="26" width="6.44140625" style="1"/>
    <col min="27" max="27" width="10.6640625" style="1" customWidth="1"/>
    <col min="28" max="16384" width="6.44140625" style="1"/>
  </cols>
  <sheetData>
    <row r="1" spans="1:38">
      <c r="A1" s="82" t="s">
        <v>120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38">
      <c r="A2" s="82" t="s">
        <v>123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2"/>
    </row>
    <row r="3" spans="1:38">
      <c r="A3" s="82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3"/>
    </row>
    <row r="4" spans="1:38">
      <c r="A4" s="82" t="s">
        <v>121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</row>
    <row r="5" spans="1:38">
      <c r="A5" s="82" t="s">
        <v>122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38">
      <c r="A6" s="82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</row>
    <row r="7" spans="1:38">
      <c r="A7" s="4"/>
      <c r="S7" s="6"/>
    </row>
    <row r="8" spans="1:38">
      <c r="A8" s="6" t="s">
        <v>2</v>
      </c>
      <c r="O8" s="5"/>
      <c r="P8" s="5"/>
      <c r="R8" s="6" t="s">
        <v>3</v>
      </c>
      <c r="S8" s="6"/>
    </row>
    <row r="9" spans="1:38">
      <c r="A9" s="7" t="s">
        <v>4</v>
      </c>
      <c r="O9" s="5"/>
      <c r="P9" s="5"/>
      <c r="R9" s="6" t="s">
        <v>5</v>
      </c>
      <c r="S9" s="6"/>
    </row>
    <row r="10" spans="1:38">
      <c r="A10" s="8" t="s">
        <v>6</v>
      </c>
      <c r="B10" s="9"/>
      <c r="C10" s="9"/>
      <c r="D10" s="9"/>
      <c r="E10" s="9"/>
      <c r="F10" s="9"/>
      <c r="G10" s="9"/>
      <c r="H10" s="9"/>
      <c r="I10" s="10"/>
      <c r="J10" s="10"/>
      <c r="K10" s="9"/>
      <c r="L10" s="9"/>
      <c r="M10" s="9"/>
      <c r="N10" s="9"/>
      <c r="O10" s="10"/>
      <c r="P10" s="10"/>
      <c r="Q10" s="9"/>
      <c r="R10" s="9" t="s">
        <v>124</v>
      </c>
      <c r="S10" s="9"/>
      <c r="T10" s="9"/>
    </row>
    <row r="12" spans="1:38">
      <c r="A12" s="6" t="s">
        <v>7</v>
      </c>
      <c r="G12" s="11" t="s">
        <v>8</v>
      </c>
      <c r="H12" s="11" t="s">
        <v>9</v>
      </c>
      <c r="I12" s="11"/>
      <c r="J12" s="11"/>
      <c r="K12" s="81" t="s">
        <v>10</v>
      </c>
      <c r="L12" s="81"/>
      <c r="M12" s="81"/>
      <c r="N12" s="81"/>
      <c r="O12" s="81"/>
      <c r="P12" s="81"/>
      <c r="Q12" s="81"/>
      <c r="R12" s="81"/>
      <c r="S12" s="81"/>
      <c r="T12" s="81"/>
    </row>
    <row r="13" spans="1:38">
      <c r="A13" s="8" t="s">
        <v>11</v>
      </c>
      <c r="B13" s="9"/>
      <c r="C13" s="68" t="s">
        <v>12</v>
      </c>
      <c r="D13" s="9"/>
      <c r="E13" s="9"/>
      <c r="F13" s="9"/>
      <c r="G13" s="72" t="s">
        <v>13</v>
      </c>
      <c r="H13" s="72" t="s">
        <v>13</v>
      </c>
      <c r="I13" s="12">
        <v>2014</v>
      </c>
      <c r="J13" s="12">
        <v>2013</v>
      </c>
      <c r="K13" s="13">
        <v>2012</v>
      </c>
      <c r="L13" s="13">
        <v>2011</v>
      </c>
      <c r="M13" s="13">
        <v>2010</v>
      </c>
      <c r="N13" s="13">
        <v>2009</v>
      </c>
      <c r="O13" s="13">
        <v>2008</v>
      </c>
      <c r="P13" s="13">
        <v>2007</v>
      </c>
      <c r="Q13" s="13">
        <v>2006</v>
      </c>
      <c r="R13" s="13">
        <v>2005</v>
      </c>
      <c r="S13" s="13">
        <v>2004</v>
      </c>
      <c r="T13" s="13">
        <v>2003</v>
      </c>
    </row>
    <row r="14" spans="1:38">
      <c r="G14" s="5"/>
      <c r="H14" s="5"/>
      <c r="P14" s="1" t="s">
        <v>14</v>
      </c>
    </row>
    <row r="15" spans="1:38">
      <c r="A15" s="4">
        <v>1</v>
      </c>
      <c r="B15" s="14" t="s">
        <v>15</v>
      </c>
      <c r="C15" s="15"/>
      <c r="G15" s="5"/>
      <c r="H15" s="5"/>
      <c r="K15" s="16"/>
      <c r="L15" s="16"/>
      <c r="M15" s="16"/>
      <c r="N15" s="16"/>
      <c r="O15" s="16"/>
      <c r="P15" s="16"/>
      <c r="Q15" s="16"/>
      <c r="R15" s="16"/>
      <c r="S15" s="16"/>
      <c r="T15" s="16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38">
      <c r="A16" s="4">
        <v>2</v>
      </c>
      <c r="B16" s="6" t="s">
        <v>16</v>
      </c>
      <c r="G16" s="5"/>
      <c r="H16" s="5"/>
      <c r="K16" s="18"/>
      <c r="L16" s="18"/>
      <c r="M16" s="18"/>
      <c r="N16" s="18"/>
      <c r="O16" s="16"/>
      <c r="P16" s="16"/>
      <c r="Q16" s="16"/>
      <c r="R16" s="16"/>
      <c r="S16" s="16"/>
      <c r="T16" s="16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38">
      <c r="A17" s="4">
        <v>3</v>
      </c>
      <c r="B17" s="6" t="s">
        <v>17</v>
      </c>
      <c r="G17" s="19">
        <v>570.09608698156114</v>
      </c>
      <c r="H17" s="19">
        <v>570.09608698156114</v>
      </c>
      <c r="I17" s="19">
        <v>128</v>
      </c>
      <c r="J17" s="19">
        <v>128</v>
      </c>
      <c r="K17" s="20">
        <f>128</f>
        <v>128</v>
      </c>
      <c r="L17" s="20">
        <f>128</f>
        <v>128</v>
      </c>
      <c r="M17" s="20">
        <f>128</f>
        <v>128</v>
      </c>
      <c r="N17" s="20">
        <v>128</v>
      </c>
      <c r="O17" s="20">
        <v>128</v>
      </c>
      <c r="P17" s="20">
        <v>128</v>
      </c>
      <c r="Q17" s="20">
        <v>128</v>
      </c>
      <c r="R17" s="21">
        <v>128</v>
      </c>
      <c r="S17" s="21">
        <v>128</v>
      </c>
      <c r="T17" s="21">
        <v>128</v>
      </c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>
      <c r="A18" s="4">
        <v>4</v>
      </c>
      <c r="B18" s="6" t="s">
        <v>18</v>
      </c>
      <c r="G18" s="19">
        <v>901.40168999999992</v>
      </c>
      <c r="H18" s="19">
        <v>901.40168999999992</v>
      </c>
      <c r="I18" s="19">
        <v>636</v>
      </c>
      <c r="J18" s="19">
        <v>901</v>
      </c>
      <c r="K18" s="20">
        <v>901</v>
      </c>
      <c r="L18" s="20">
        <v>901</v>
      </c>
      <c r="M18" s="20">
        <v>901</v>
      </c>
      <c r="N18" s="20">
        <v>901</v>
      </c>
      <c r="O18" s="20">
        <v>901</v>
      </c>
      <c r="P18" s="20">
        <v>901</v>
      </c>
      <c r="Q18" s="20">
        <v>907</v>
      </c>
      <c r="R18" s="21">
        <v>907</v>
      </c>
      <c r="S18" s="21">
        <v>907</v>
      </c>
      <c r="T18" s="21">
        <v>907</v>
      </c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>
      <c r="A19" s="4">
        <v>5</v>
      </c>
      <c r="B19" s="6" t="s">
        <v>19</v>
      </c>
      <c r="G19" s="19">
        <v>6950.3606</v>
      </c>
      <c r="H19" s="19">
        <v>6950.3606</v>
      </c>
      <c r="I19" s="19">
        <v>10792</v>
      </c>
      <c r="J19" s="19">
        <v>9630</v>
      </c>
      <c r="K19" s="20">
        <f>10104</f>
        <v>10104</v>
      </c>
      <c r="L19" s="20">
        <f>9388</f>
        <v>9388</v>
      </c>
      <c r="M19" s="20">
        <f>7731</f>
        <v>7731</v>
      </c>
      <c r="N19" s="20">
        <v>7540</v>
      </c>
      <c r="O19" s="20">
        <v>6950</v>
      </c>
      <c r="P19" s="20">
        <v>6878</v>
      </c>
      <c r="Q19" s="20">
        <v>6878</v>
      </c>
      <c r="R19" s="21">
        <v>6701</v>
      </c>
      <c r="S19" s="21">
        <v>6701</v>
      </c>
      <c r="T19" s="21">
        <v>6701</v>
      </c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>
      <c r="A20" s="4">
        <v>6</v>
      </c>
      <c r="B20" s="6" t="s">
        <v>20</v>
      </c>
      <c r="G20" s="19">
        <v>40030.235575534272</v>
      </c>
      <c r="H20" s="19">
        <v>33028.716554351857</v>
      </c>
      <c r="I20" s="19">
        <v>31877</v>
      </c>
      <c r="J20" s="19">
        <v>32962</v>
      </c>
      <c r="K20" s="20">
        <f>32836</f>
        <v>32836</v>
      </c>
      <c r="L20" s="20">
        <f>33144</f>
        <v>33144</v>
      </c>
      <c r="M20" s="20">
        <f>31189</f>
        <v>31189</v>
      </c>
      <c r="N20" s="20">
        <v>31202</v>
      </c>
      <c r="O20" s="20">
        <v>28807</v>
      </c>
      <c r="P20" s="20">
        <v>28746</v>
      </c>
      <c r="Q20" s="20">
        <v>25984</v>
      </c>
      <c r="R20" s="21">
        <v>26119</v>
      </c>
      <c r="S20" s="21">
        <v>25926</v>
      </c>
      <c r="T20" s="21">
        <v>25685</v>
      </c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>
      <c r="A21" s="4">
        <v>7</v>
      </c>
      <c r="B21" s="6" t="s">
        <v>21</v>
      </c>
      <c r="G21" s="19">
        <v>283954.86206631747</v>
      </c>
      <c r="H21" s="19">
        <v>269272.16259499657</v>
      </c>
      <c r="I21" s="19">
        <v>381623</v>
      </c>
      <c r="J21" s="19">
        <v>340200</v>
      </c>
      <c r="K21" s="20">
        <f>323036</f>
        <v>323036</v>
      </c>
      <c r="L21" s="20">
        <f>296493</f>
        <v>296493</v>
      </c>
      <c r="M21" s="20">
        <f>283474</f>
        <v>283474</v>
      </c>
      <c r="N21" s="20">
        <v>271463</v>
      </c>
      <c r="O21" s="20">
        <v>260621</v>
      </c>
      <c r="P21" s="20">
        <v>251843</v>
      </c>
      <c r="Q21" s="20">
        <v>241862</v>
      </c>
      <c r="R21" s="21">
        <v>230736</v>
      </c>
      <c r="S21" s="21">
        <v>217298</v>
      </c>
      <c r="T21" s="21">
        <v>198004</v>
      </c>
    </row>
    <row r="22" spans="1:38">
      <c r="A22" s="4">
        <v>8</v>
      </c>
      <c r="B22" s="6" t="s">
        <v>22</v>
      </c>
      <c r="G22" s="19">
        <v>34275.799209084071</v>
      </c>
      <c r="H22" s="19">
        <v>32705.624154032939</v>
      </c>
      <c r="I22" s="19">
        <v>16683</v>
      </c>
      <c r="J22" s="19">
        <v>15589</v>
      </c>
      <c r="K22" s="20">
        <f>15238</f>
        <v>15238</v>
      </c>
      <c r="L22" s="20">
        <f>16000</f>
        <v>16000</v>
      </c>
      <c r="M22" s="20">
        <f>15103</f>
        <v>15103</v>
      </c>
      <c r="N22" s="20">
        <v>14696</v>
      </c>
      <c r="O22" s="20">
        <v>15422</v>
      </c>
      <c r="P22" s="20">
        <v>15165</v>
      </c>
      <c r="Q22" s="20">
        <v>14116</v>
      </c>
      <c r="R22" s="21">
        <v>16263</v>
      </c>
      <c r="S22" s="21">
        <v>15788</v>
      </c>
      <c r="T22" s="21">
        <v>15820</v>
      </c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1:38">
      <c r="A23" s="4">
        <v>9</v>
      </c>
      <c r="B23" s="6" t="s">
        <v>23</v>
      </c>
      <c r="G23" s="73"/>
      <c r="H23" s="73"/>
      <c r="I23" s="19">
        <v>3279</v>
      </c>
      <c r="J23" s="19">
        <v>3279</v>
      </c>
      <c r="K23" s="20">
        <f>3279</f>
        <v>3279</v>
      </c>
      <c r="L23" s="20">
        <f>3279</f>
        <v>3279</v>
      </c>
      <c r="M23" s="20">
        <f>3337</f>
        <v>3337</v>
      </c>
      <c r="N23" s="20">
        <v>3337</v>
      </c>
      <c r="O23" s="20">
        <v>3337</v>
      </c>
      <c r="P23" s="20">
        <f>3337</f>
        <v>3337</v>
      </c>
      <c r="Q23" s="20">
        <v>3337</v>
      </c>
      <c r="R23" s="20">
        <v>3337</v>
      </c>
      <c r="S23" s="21"/>
      <c r="T23" s="21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38">
      <c r="A24" s="4">
        <v>10</v>
      </c>
      <c r="B24" s="6" t="s">
        <v>14</v>
      </c>
      <c r="G24" s="22"/>
      <c r="H24" s="22"/>
      <c r="I24" s="22"/>
      <c r="J24" s="22"/>
      <c r="K24" s="23"/>
      <c r="L24" s="23"/>
      <c r="M24" s="23"/>
      <c r="N24" s="23"/>
      <c r="O24" s="24"/>
      <c r="P24" s="24"/>
      <c r="Q24" s="24"/>
      <c r="R24" s="24"/>
      <c r="S24" s="24"/>
      <c r="T24" s="24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1:38">
      <c r="A25" s="4">
        <v>11</v>
      </c>
      <c r="B25" s="6" t="s">
        <v>24</v>
      </c>
      <c r="G25" s="19">
        <f t="shared" ref="G25:T25" si="0">SUM(G17:G24)</f>
        <v>366682.7552279174</v>
      </c>
      <c r="H25" s="19">
        <f t="shared" si="0"/>
        <v>343428.36168036296</v>
      </c>
      <c r="I25" s="21">
        <f t="shared" si="0"/>
        <v>445018</v>
      </c>
      <c r="J25" s="21">
        <f t="shared" si="0"/>
        <v>402689</v>
      </c>
      <c r="K25" s="21">
        <f t="shared" si="0"/>
        <v>385522</v>
      </c>
      <c r="L25" s="21">
        <f t="shared" si="0"/>
        <v>359333</v>
      </c>
      <c r="M25" s="21">
        <f t="shared" si="0"/>
        <v>341863</v>
      </c>
      <c r="N25" s="21">
        <f t="shared" si="0"/>
        <v>329267</v>
      </c>
      <c r="O25" s="21">
        <f>SUM(O17:O24)</f>
        <v>316166</v>
      </c>
      <c r="P25" s="21">
        <f t="shared" si="0"/>
        <v>306998</v>
      </c>
      <c r="Q25" s="21">
        <f t="shared" si="0"/>
        <v>293212</v>
      </c>
      <c r="R25" s="21">
        <f t="shared" si="0"/>
        <v>284191</v>
      </c>
      <c r="S25" s="21">
        <f t="shared" si="0"/>
        <v>266748</v>
      </c>
      <c r="T25" s="21">
        <f t="shared" si="0"/>
        <v>247245</v>
      </c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</row>
    <row r="26" spans="1:38">
      <c r="A26" s="4">
        <v>12</v>
      </c>
      <c r="B26" s="6" t="s">
        <v>25</v>
      </c>
      <c r="G26" s="74">
        <v>163563.74848498034</v>
      </c>
      <c r="H26" s="75">
        <v>152974.4983152253</v>
      </c>
      <c r="I26" s="23">
        <v>160839</v>
      </c>
      <c r="J26" s="23">
        <v>158300</v>
      </c>
      <c r="K26" s="23">
        <f>151849</f>
        <v>151849</v>
      </c>
      <c r="L26" s="23">
        <f>150795</f>
        <v>150795</v>
      </c>
      <c r="M26" s="23">
        <f>147462</f>
        <v>147462</v>
      </c>
      <c r="N26" s="23">
        <f>144016</f>
        <v>144016</v>
      </c>
      <c r="O26" s="23">
        <v>139212</v>
      </c>
      <c r="P26" s="23">
        <v>134463</v>
      </c>
      <c r="Q26" s="23">
        <v>128208</v>
      </c>
      <c r="R26" s="24">
        <v>124069</v>
      </c>
      <c r="S26" s="24">
        <v>116318</v>
      </c>
      <c r="T26" s="24">
        <v>110980</v>
      </c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</row>
    <row r="27" spans="1:38">
      <c r="A27" s="4">
        <v>13</v>
      </c>
      <c r="B27" s="6" t="s">
        <v>26</v>
      </c>
      <c r="G27" s="19">
        <f t="shared" ref="G27:T27" si="1">G25-G26</f>
        <v>203119.00674293705</v>
      </c>
      <c r="H27" s="76">
        <f t="shared" si="1"/>
        <v>190453.86336513766</v>
      </c>
      <c r="I27" s="21">
        <f t="shared" si="1"/>
        <v>284179</v>
      </c>
      <c r="J27" s="21">
        <f t="shared" si="1"/>
        <v>244389</v>
      </c>
      <c r="K27" s="21">
        <f t="shared" si="1"/>
        <v>233673</v>
      </c>
      <c r="L27" s="21">
        <f t="shared" si="1"/>
        <v>208538</v>
      </c>
      <c r="M27" s="21">
        <f t="shared" si="1"/>
        <v>194401</v>
      </c>
      <c r="N27" s="21">
        <f t="shared" si="1"/>
        <v>185251</v>
      </c>
      <c r="O27" s="21">
        <f>O25-O26</f>
        <v>176954</v>
      </c>
      <c r="P27" s="21">
        <f t="shared" si="1"/>
        <v>172535</v>
      </c>
      <c r="Q27" s="21">
        <f t="shared" si="1"/>
        <v>165004</v>
      </c>
      <c r="R27" s="21">
        <f t="shared" si="1"/>
        <v>160122</v>
      </c>
      <c r="S27" s="21">
        <f t="shared" si="1"/>
        <v>150430</v>
      </c>
      <c r="T27" s="21">
        <f t="shared" si="1"/>
        <v>136265</v>
      </c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</row>
    <row r="28" spans="1:38">
      <c r="A28" s="4">
        <v>14</v>
      </c>
      <c r="G28" s="19"/>
      <c r="H28" s="19"/>
      <c r="I28" s="19"/>
      <c r="J28" s="19"/>
      <c r="K28" s="20"/>
      <c r="L28" s="20"/>
      <c r="M28" s="20"/>
      <c r="N28" s="20"/>
      <c r="O28" s="21"/>
      <c r="P28" s="21"/>
      <c r="Q28" s="21"/>
      <c r="R28" s="21"/>
      <c r="S28" s="21"/>
      <c r="T28" s="21"/>
    </row>
    <row r="29" spans="1:38">
      <c r="A29" s="4">
        <v>15</v>
      </c>
      <c r="B29" s="6" t="s">
        <v>27</v>
      </c>
      <c r="G29" s="19">
        <v>4976.6246298901988</v>
      </c>
      <c r="H29" s="19">
        <v>4976.6246298901988</v>
      </c>
      <c r="I29" s="19">
        <v>12708</v>
      </c>
      <c r="J29" s="19">
        <v>16578</v>
      </c>
      <c r="K29" s="20">
        <v>6006</v>
      </c>
      <c r="L29" s="20">
        <v>3306</v>
      </c>
      <c r="M29" s="20">
        <v>7197</v>
      </c>
      <c r="N29" s="20">
        <v>4851</v>
      </c>
      <c r="O29" s="20">
        <v>5215</v>
      </c>
      <c r="P29" s="20">
        <v>1897</v>
      </c>
      <c r="Q29" s="20">
        <v>3573</v>
      </c>
      <c r="R29" s="21">
        <v>1983</v>
      </c>
      <c r="S29" s="21">
        <v>2134</v>
      </c>
      <c r="T29" s="21">
        <v>4727</v>
      </c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38">
      <c r="A30" s="4">
        <v>16</v>
      </c>
      <c r="B30" s="6" t="s">
        <v>14</v>
      </c>
      <c r="G30" s="19"/>
      <c r="H30" s="19"/>
      <c r="I30" s="19"/>
      <c r="J30" s="19"/>
      <c r="K30" s="20"/>
      <c r="L30" s="20"/>
      <c r="M30" s="20"/>
      <c r="N30" s="20"/>
      <c r="O30" s="21"/>
      <c r="P30" s="21"/>
      <c r="Q30" s="21"/>
      <c r="R30" s="21"/>
      <c r="S30" s="21"/>
      <c r="T30" s="21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1:38">
      <c r="A31" s="4">
        <v>17</v>
      </c>
      <c r="B31" s="6" t="s">
        <v>14</v>
      </c>
      <c r="G31" s="19"/>
      <c r="H31" s="19"/>
      <c r="I31" s="19"/>
      <c r="J31" s="19"/>
      <c r="K31" s="20"/>
      <c r="L31" s="20"/>
      <c r="M31" s="20"/>
      <c r="N31" s="20"/>
      <c r="O31" s="21"/>
      <c r="P31" s="21"/>
      <c r="Q31" s="21"/>
      <c r="R31" s="21"/>
      <c r="S31" s="21"/>
      <c r="T31" s="21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1:38">
      <c r="A32" s="4">
        <v>18</v>
      </c>
      <c r="B32" s="6" t="s">
        <v>14</v>
      </c>
      <c r="G32" s="19"/>
      <c r="H32" s="19"/>
      <c r="I32" s="19"/>
      <c r="J32" s="19"/>
      <c r="K32" s="20"/>
      <c r="L32" s="20"/>
      <c r="M32" s="20"/>
      <c r="N32" s="20"/>
      <c r="O32" s="21"/>
      <c r="P32" s="21"/>
      <c r="Q32" s="21"/>
      <c r="R32" s="21"/>
      <c r="S32" s="21"/>
      <c r="T32" s="21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1:38">
      <c r="A33" s="4">
        <v>19</v>
      </c>
      <c r="B33" s="6" t="s">
        <v>14</v>
      </c>
      <c r="G33" s="22"/>
      <c r="H33" s="22"/>
      <c r="I33" s="22"/>
      <c r="J33" s="22"/>
      <c r="K33" s="23"/>
      <c r="L33" s="23"/>
      <c r="M33" s="23"/>
      <c r="N33" s="23"/>
      <c r="O33" s="24"/>
      <c r="P33" s="25"/>
      <c r="Q33" s="24"/>
      <c r="R33" s="24"/>
      <c r="S33" s="24"/>
      <c r="T33" s="24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</row>
    <row r="34" spans="1:38">
      <c r="A34" s="4">
        <v>20</v>
      </c>
      <c r="B34" s="6" t="s">
        <v>28</v>
      </c>
      <c r="G34" s="19">
        <f t="shared" ref="G34:T34" si="2">SUM(G29:G33)</f>
        <v>4976.6246298901988</v>
      </c>
      <c r="H34" s="19">
        <f t="shared" si="2"/>
        <v>4976.6246298901988</v>
      </c>
      <c r="I34" s="21">
        <f t="shared" si="2"/>
        <v>12708</v>
      </c>
      <c r="J34" s="21">
        <f t="shared" si="2"/>
        <v>16578</v>
      </c>
      <c r="K34" s="21">
        <f t="shared" si="2"/>
        <v>6006</v>
      </c>
      <c r="L34" s="21">
        <f t="shared" si="2"/>
        <v>3306</v>
      </c>
      <c r="M34" s="21">
        <f t="shared" si="2"/>
        <v>7197</v>
      </c>
      <c r="N34" s="21">
        <f t="shared" si="2"/>
        <v>4851</v>
      </c>
      <c r="O34" s="21">
        <f t="shared" si="2"/>
        <v>5215</v>
      </c>
      <c r="P34" s="21">
        <f t="shared" si="2"/>
        <v>1897</v>
      </c>
      <c r="Q34" s="21">
        <f t="shared" si="2"/>
        <v>3573</v>
      </c>
      <c r="R34" s="21">
        <f t="shared" si="2"/>
        <v>1983</v>
      </c>
      <c r="S34" s="21">
        <f t="shared" si="2"/>
        <v>2134</v>
      </c>
      <c r="T34" s="21">
        <f t="shared" si="2"/>
        <v>4727</v>
      </c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  <row r="35" spans="1:38">
      <c r="A35" s="4">
        <v>21</v>
      </c>
      <c r="G35" s="19"/>
      <c r="H35" s="19"/>
      <c r="I35" s="19"/>
      <c r="J35" s="19"/>
      <c r="K35" s="20"/>
      <c r="L35" s="20"/>
      <c r="M35" s="20"/>
      <c r="N35" s="20"/>
      <c r="O35" s="21"/>
      <c r="P35" s="21"/>
      <c r="Q35" s="21"/>
      <c r="R35" s="21"/>
      <c r="S35" s="21"/>
      <c r="T35" s="16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1:38">
      <c r="A36" s="4">
        <v>22</v>
      </c>
      <c r="B36" s="6" t="s">
        <v>29</v>
      </c>
      <c r="G36" s="69">
        <f t="shared" ref="G36:T36" si="3">G27+G34</f>
        <v>208095.63137282725</v>
      </c>
      <c r="H36" s="69">
        <f t="shared" si="3"/>
        <v>195430.48799502786</v>
      </c>
      <c r="I36" s="26">
        <f t="shared" si="3"/>
        <v>296887</v>
      </c>
      <c r="J36" s="26">
        <f t="shared" si="3"/>
        <v>260967</v>
      </c>
      <c r="K36" s="26">
        <f t="shared" si="3"/>
        <v>239679</v>
      </c>
      <c r="L36" s="26">
        <f t="shared" si="3"/>
        <v>211844</v>
      </c>
      <c r="M36" s="26">
        <f t="shared" si="3"/>
        <v>201598</v>
      </c>
      <c r="N36" s="26">
        <f t="shared" si="3"/>
        <v>190102</v>
      </c>
      <c r="O36" s="26">
        <f t="shared" si="3"/>
        <v>182169</v>
      </c>
      <c r="P36" s="26">
        <f t="shared" si="3"/>
        <v>174432</v>
      </c>
      <c r="Q36" s="26">
        <f t="shared" si="3"/>
        <v>168577</v>
      </c>
      <c r="R36" s="26">
        <f t="shared" si="3"/>
        <v>162105</v>
      </c>
      <c r="S36" s="26">
        <f t="shared" si="3"/>
        <v>152564</v>
      </c>
      <c r="T36" s="26">
        <f t="shared" si="3"/>
        <v>140992</v>
      </c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1:38">
      <c r="A37" s="4">
        <v>23</v>
      </c>
      <c r="G37" s="19"/>
      <c r="H37" s="5"/>
      <c r="K37" s="18"/>
      <c r="L37" s="18"/>
      <c r="M37" s="18"/>
      <c r="N37" s="18"/>
      <c r="O37" s="21"/>
      <c r="P37" s="21"/>
      <c r="Q37" s="16"/>
      <c r="R37" s="21"/>
      <c r="S37" s="21"/>
      <c r="T37" s="21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1:38">
      <c r="A38" s="4">
        <v>24</v>
      </c>
      <c r="B38" s="6" t="s">
        <v>30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1:38">
      <c r="A39" s="4">
        <v>25</v>
      </c>
      <c r="G39" s="5"/>
      <c r="H39" s="5"/>
      <c r="K39" s="18"/>
      <c r="L39" s="18"/>
      <c r="M39" s="18"/>
      <c r="N39" s="18"/>
      <c r="O39" s="16"/>
      <c r="P39" s="16"/>
      <c r="Q39" s="16"/>
      <c r="R39" s="16"/>
      <c r="S39" s="16"/>
      <c r="T39" s="16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</row>
    <row r="40" spans="1:38">
      <c r="A40" s="4">
        <v>26</v>
      </c>
      <c r="G40" s="5"/>
      <c r="H40" s="5"/>
      <c r="K40" s="18"/>
      <c r="L40" s="18"/>
      <c r="M40" s="18"/>
      <c r="N40" s="18"/>
      <c r="O40" s="16"/>
      <c r="P40" s="16"/>
      <c r="Q40" s="16"/>
      <c r="R40" s="16"/>
      <c r="S40" s="16"/>
      <c r="T40" s="16"/>
    </row>
    <row r="41" spans="1:38">
      <c r="A41" s="4">
        <v>27</v>
      </c>
      <c r="B41" s="29" t="s">
        <v>31</v>
      </c>
      <c r="G41" s="5"/>
      <c r="H41" s="5"/>
      <c r="K41" s="18"/>
      <c r="L41" s="18"/>
      <c r="M41" s="18"/>
      <c r="N41" s="18"/>
      <c r="O41" s="16"/>
      <c r="P41" s="16"/>
      <c r="Q41" s="16"/>
      <c r="R41" s="16"/>
      <c r="S41" s="16"/>
      <c r="T41" s="16"/>
      <c r="U41" s="17"/>
      <c r="V41" s="17"/>
      <c r="W41" s="17"/>
      <c r="AC41" s="30"/>
    </row>
    <row r="42" spans="1:38">
      <c r="A42" s="4">
        <v>28</v>
      </c>
      <c r="B42" s="14" t="s">
        <v>32</v>
      </c>
      <c r="C42" s="15"/>
      <c r="D42" s="15"/>
      <c r="G42" s="5"/>
      <c r="H42" s="5"/>
      <c r="K42" s="18"/>
      <c r="L42" s="18"/>
      <c r="M42" s="18"/>
      <c r="N42" s="18"/>
      <c r="O42" s="16"/>
      <c r="P42" s="16"/>
      <c r="Q42" s="16"/>
      <c r="R42" s="16"/>
      <c r="S42" s="16"/>
      <c r="T42" s="16"/>
      <c r="U42" s="17"/>
      <c r="V42" s="17"/>
      <c r="W42" s="17"/>
      <c r="Z42" s="30"/>
      <c r="AC42" s="30"/>
      <c r="AE42" s="30"/>
      <c r="AF42" s="30"/>
      <c r="AG42" s="30"/>
      <c r="AH42" s="30"/>
      <c r="AI42" s="30"/>
      <c r="AJ42" s="30"/>
    </row>
    <row r="43" spans="1:38">
      <c r="A43" s="4">
        <v>29</v>
      </c>
      <c r="B43" s="6" t="s">
        <v>33</v>
      </c>
      <c r="G43" s="37"/>
      <c r="H43" s="37"/>
      <c r="I43" s="31">
        <v>196695</v>
      </c>
      <c r="J43" s="31">
        <v>367984</v>
      </c>
      <c r="K43" s="31">
        <v>570929</v>
      </c>
      <c r="L43" s="31">
        <v>206396</v>
      </c>
      <c r="M43" s="31">
        <v>126100</v>
      </c>
      <c r="N43" s="31">
        <v>72550</v>
      </c>
      <c r="O43" s="31">
        <v>350542</v>
      </c>
      <c r="P43" s="31">
        <v>150599</v>
      </c>
      <c r="Q43" s="31">
        <v>382416</v>
      </c>
      <c r="R43" s="31">
        <v>144809</v>
      </c>
      <c r="S43" s="31">
        <v>0</v>
      </c>
      <c r="T43" s="31">
        <v>118595</v>
      </c>
      <c r="U43" s="17"/>
      <c r="Z43" s="30"/>
      <c r="AB43" s="30"/>
      <c r="AC43" s="30"/>
      <c r="AE43" s="30"/>
      <c r="AF43" s="30"/>
      <c r="AG43" s="30"/>
      <c r="AH43" s="30"/>
      <c r="AI43" s="30"/>
      <c r="AJ43" s="30"/>
    </row>
    <row r="44" spans="1:38">
      <c r="A44" s="4">
        <v>30</v>
      </c>
      <c r="B44" s="6" t="s">
        <v>34</v>
      </c>
      <c r="G44" s="37"/>
      <c r="H44" s="37"/>
      <c r="I44" s="31">
        <v>2455986</v>
      </c>
      <c r="J44" s="31">
        <v>2455671</v>
      </c>
      <c r="K44" s="31">
        <v>1956305</v>
      </c>
      <c r="L44" s="31">
        <v>2206117</v>
      </c>
      <c r="M44" s="31">
        <v>1809551</v>
      </c>
      <c r="N44" s="31">
        <v>2169400</v>
      </c>
      <c r="O44" s="31">
        <v>2119792</v>
      </c>
      <c r="P44" s="31">
        <v>2126315</v>
      </c>
      <c r="Q44" s="31">
        <v>2180362</v>
      </c>
      <c r="R44" s="31">
        <v>2183104</v>
      </c>
      <c r="S44" s="31">
        <v>861311</v>
      </c>
      <c r="T44" s="31">
        <v>862500</v>
      </c>
      <c r="AC44" s="30"/>
    </row>
    <row r="45" spans="1:38">
      <c r="A45" s="4">
        <v>31</v>
      </c>
      <c r="B45" s="6" t="s">
        <v>35</v>
      </c>
      <c r="G45" s="51"/>
      <c r="H45" s="51"/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Z45" s="30"/>
      <c r="AC45" s="30"/>
      <c r="AE45" s="30"/>
      <c r="AF45" s="30"/>
      <c r="AG45" s="30"/>
      <c r="AH45" s="30"/>
      <c r="AI45" s="30"/>
      <c r="AJ45" s="30"/>
    </row>
    <row r="46" spans="1:38">
      <c r="A46" s="4">
        <v>32</v>
      </c>
      <c r="B46" s="6" t="s">
        <v>36</v>
      </c>
      <c r="G46" s="38"/>
      <c r="H46" s="38"/>
      <c r="I46" s="34">
        <v>3086232</v>
      </c>
      <c r="J46" s="34">
        <v>2580409</v>
      </c>
      <c r="K46" s="34">
        <v>2359243</v>
      </c>
      <c r="L46" s="34">
        <v>2255421</v>
      </c>
      <c r="M46" s="34">
        <v>2178348</v>
      </c>
      <c r="N46" s="34">
        <f>2176761</f>
        <v>2176761</v>
      </c>
      <c r="O46" s="34">
        <v>2052492</v>
      </c>
      <c r="P46" s="34">
        <v>1965754</v>
      </c>
      <c r="Q46" s="34">
        <v>1648098</v>
      </c>
      <c r="R46" s="35">
        <v>1602422</v>
      </c>
      <c r="S46" s="35">
        <v>1133459</v>
      </c>
      <c r="T46" s="35">
        <v>857517</v>
      </c>
      <c r="AC46" s="30"/>
    </row>
    <row r="47" spans="1:38">
      <c r="A47" s="4">
        <v>33</v>
      </c>
      <c r="G47" s="19"/>
      <c r="H47" s="19"/>
      <c r="I47" s="19"/>
      <c r="J47" s="19"/>
      <c r="K47" s="20"/>
      <c r="L47" s="20"/>
      <c r="M47" s="20"/>
      <c r="N47" s="20"/>
      <c r="O47" s="21"/>
      <c r="P47" s="21"/>
      <c r="Q47" s="21"/>
      <c r="R47" s="21"/>
      <c r="S47" s="21"/>
      <c r="T47" s="21"/>
      <c r="Z47" s="30"/>
      <c r="AB47" s="30"/>
      <c r="AC47" s="30"/>
      <c r="AE47" s="30"/>
      <c r="AF47" s="30"/>
      <c r="AG47" s="30"/>
      <c r="AH47" s="30"/>
      <c r="AI47" s="30"/>
      <c r="AJ47" s="30"/>
    </row>
    <row r="48" spans="1:38">
      <c r="A48" s="4">
        <v>34</v>
      </c>
      <c r="B48" s="6" t="s">
        <v>29</v>
      </c>
      <c r="G48" s="77">
        <v>2293656.2823855039</v>
      </c>
      <c r="H48" s="77">
        <v>2164263.258545062</v>
      </c>
      <c r="I48" s="26">
        <f t="shared" ref="I48:T48" si="4">SUM(I43:I46)</f>
        <v>5738913</v>
      </c>
      <c r="J48" s="26">
        <f t="shared" si="4"/>
        <v>5404064</v>
      </c>
      <c r="K48" s="26">
        <f t="shared" si="4"/>
        <v>4886477</v>
      </c>
      <c r="L48" s="26">
        <f t="shared" si="4"/>
        <v>4667934</v>
      </c>
      <c r="M48" s="26">
        <f t="shared" si="4"/>
        <v>4113999</v>
      </c>
      <c r="N48" s="26">
        <f t="shared" si="4"/>
        <v>4418711</v>
      </c>
      <c r="O48" s="26">
        <f t="shared" si="4"/>
        <v>4522826</v>
      </c>
      <c r="P48" s="26">
        <f t="shared" si="4"/>
        <v>4242668</v>
      </c>
      <c r="Q48" s="26">
        <f t="shared" si="4"/>
        <v>4210876</v>
      </c>
      <c r="R48" s="26">
        <f t="shared" si="4"/>
        <v>3930335</v>
      </c>
      <c r="S48" s="26">
        <f t="shared" si="4"/>
        <v>1994770</v>
      </c>
      <c r="T48" s="26">
        <f t="shared" si="4"/>
        <v>1838612</v>
      </c>
      <c r="AC48" s="30"/>
    </row>
    <row r="49" spans="1:36">
      <c r="A49" s="4">
        <v>35</v>
      </c>
      <c r="G49" s="19"/>
      <c r="H49" s="19"/>
      <c r="I49" s="19"/>
      <c r="J49" s="19"/>
      <c r="K49" s="20"/>
      <c r="L49" s="20"/>
      <c r="M49" s="20"/>
      <c r="N49" s="20"/>
      <c r="O49" s="21"/>
      <c r="P49" s="21"/>
      <c r="Q49" s="21"/>
      <c r="R49" s="21"/>
      <c r="S49" s="21"/>
      <c r="T49" s="21"/>
      <c r="Z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>
      <c r="A50" s="4">
        <v>36</v>
      </c>
      <c r="B50" s="14" t="s">
        <v>37</v>
      </c>
      <c r="C50" s="15"/>
      <c r="D50" s="15"/>
      <c r="E50" s="15"/>
      <c r="F50" s="15"/>
      <c r="G50" s="19"/>
      <c r="H50" s="19"/>
      <c r="I50" s="19"/>
      <c r="J50" s="19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5"/>
      <c r="AC50" s="30"/>
    </row>
    <row r="51" spans="1:36">
      <c r="A51" s="4">
        <v>37</v>
      </c>
      <c r="B51" s="6" t="s">
        <v>38</v>
      </c>
      <c r="G51" s="36" t="e">
        <f>+#REF!</f>
        <v>#REF!</v>
      </c>
      <c r="H51" s="36" t="e">
        <f>+#REF!</f>
        <v>#REF!</v>
      </c>
      <c r="I51" s="36">
        <v>196882</v>
      </c>
      <c r="J51" s="36">
        <v>162968</v>
      </c>
      <c r="K51" s="31">
        <f>134778</f>
        <v>134778</v>
      </c>
      <c r="L51" s="31">
        <f>149662</f>
        <v>149662</v>
      </c>
      <c r="M51" s="31">
        <f>156816</f>
        <v>156816</v>
      </c>
      <c r="N51" s="31">
        <v>190356</v>
      </c>
      <c r="O51" s="31">
        <v>244308.47516</v>
      </c>
      <c r="P51" s="31">
        <v>203286.68382000001</v>
      </c>
      <c r="Q51" s="31">
        <v>208077.45324999999</v>
      </c>
      <c r="R51" s="31">
        <v>244452</v>
      </c>
      <c r="S51" s="31">
        <v>198648</v>
      </c>
      <c r="T51" s="31">
        <v>184645</v>
      </c>
      <c r="U51" s="5"/>
      <c r="AC51" s="30"/>
    </row>
    <row r="52" spans="1:36">
      <c r="A52" s="4">
        <v>38</v>
      </c>
      <c r="B52" s="6" t="s">
        <v>39</v>
      </c>
      <c r="G52" s="19"/>
      <c r="H52" s="19"/>
      <c r="I52" s="19"/>
      <c r="J52" s="19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5"/>
      <c r="Z52" s="30"/>
      <c r="AB52" s="30"/>
      <c r="AC52" s="30"/>
      <c r="AE52" s="30"/>
      <c r="AF52" s="30"/>
      <c r="AG52" s="30"/>
      <c r="AH52" s="30"/>
      <c r="AI52" s="30"/>
      <c r="AJ52" s="30"/>
    </row>
    <row r="53" spans="1:36">
      <c r="A53" s="4">
        <v>39</v>
      </c>
      <c r="B53" s="6" t="s">
        <v>40</v>
      </c>
      <c r="G53" s="36" t="e">
        <f>+#REF!+#REF!</f>
        <v>#REF!</v>
      </c>
      <c r="H53" s="36" t="e">
        <f>+#REF!+#REF!</f>
        <v>#REF!</v>
      </c>
      <c r="I53" s="36">
        <v>166452</v>
      </c>
      <c r="J53" s="36">
        <v>139358</v>
      </c>
      <c r="K53" s="31">
        <f>112027</f>
        <v>112027</v>
      </c>
      <c r="L53" s="31">
        <f>126219</f>
        <v>126219</v>
      </c>
      <c r="M53" s="31">
        <f>136649</f>
        <v>136649</v>
      </c>
      <c r="N53" s="31">
        <v>176587</v>
      </c>
      <c r="O53" s="31">
        <v>224347.66394</v>
      </c>
      <c r="P53" s="31">
        <v>187733.05102000001</v>
      </c>
      <c r="Q53" s="31">
        <v>194747.19339000003</v>
      </c>
      <c r="R53" s="31">
        <f>225449</f>
        <v>225449</v>
      </c>
      <c r="S53" s="31">
        <v>176630</v>
      </c>
      <c r="T53" s="31">
        <v>162560</v>
      </c>
      <c r="U53" s="5"/>
      <c r="AB53" s="30"/>
      <c r="AC53" s="30"/>
    </row>
    <row r="54" spans="1:36">
      <c r="A54" s="4">
        <v>40</v>
      </c>
      <c r="B54" s="6" t="s">
        <v>41</v>
      </c>
      <c r="G54" s="37"/>
      <c r="H54" s="37"/>
      <c r="I54" s="37"/>
      <c r="J54" s="37"/>
      <c r="K54" s="31"/>
      <c r="L54" s="31"/>
      <c r="M54" s="31"/>
      <c r="N54" s="31"/>
      <c r="O54" s="31"/>
      <c r="P54" s="31"/>
      <c r="Q54" s="31"/>
      <c r="R54" s="31">
        <v>0</v>
      </c>
      <c r="S54" s="31"/>
      <c r="T54" s="31"/>
      <c r="U54" s="5"/>
      <c r="Z54" s="30"/>
      <c r="AB54" s="30"/>
      <c r="AC54" s="30"/>
      <c r="AE54" s="30"/>
      <c r="AF54" s="30"/>
      <c r="AG54" s="30"/>
      <c r="AH54" s="30"/>
      <c r="AI54" s="30"/>
      <c r="AJ54" s="30"/>
    </row>
    <row r="55" spans="1:36">
      <c r="A55" s="4">
        <v>41</v>
      </c>
      <c r="B55" s="6" t="s">
        <v>42</v>
      </c>
      <c r="G55" s="37"/>
      <c r="H55" s="37"/>
      <c r="I55" s="37"/>
      <c r="J55" s="37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5"/>
      <c r="AB55" s="30"/>
      <c r="AC55" s="30"/>
    </row>
    <row r="56" spans="1:36">
      <c r="A56" s="4">
        <v>42</v>
      </c>
      <c r="B56" s="6" t="s">
        <v>43</v>
      </c>
      <c r="G56" s="19" t="e">
        <f>+#REF!</f>
        <v>#REF!</v>
      </c>
      <c r="H56" s="19" t="e">
        <f>+#REF!</f>
        <v>#REF!</v>
      </c>
      <c r="I56" s="19">
        <v>9671</v>
      </c>
      <c r="J56" s="19">
        <v>7060</v>
      </c>
      <c r="K56" s="20">
        <f>8157</f>
        <v>8157</v>
      </c>
      <c r="L56" s="20">
        <f>8094</f>
        <v>8094</v>
      </c>
      <c r="M56" s="20">
        <f>5654</f>
        <v>5654</v>
      </c>
      <c r="N56" s="20">
        <v>2889</v>
      </c>
      <c r="O56" s="20">
        <v>6985</v>
      </c>
      <c r="P56" s="20">
        <f>4307</f>
        <v>4307</v>
      </c>
      <c r="Q56" s="20">
        <v>3197.9320000000002</v>
      </c>
      <c r="R56" s="20">
        <v>5529</v>
      </c>
      <c r="S56" s="20">
        <v>6839</v>
      </c>
      <c r="T56" s="20">
        <v>6714</v>
      </c>
      <c r="U56" s="5"/>
      <c r="Z56" s="30"/>
      <c r="AB56" s="30"/>
      <c r="AC56" s="30"/>
      <c r="AE56" s="30"/>
      <c r="AF56" s="30"/>
      <c r="AG56" s="30"/>
      <c r="AH56" s="30"/>
      <c r="AI56" s="30"/>
      <c r="AJ56" s="30"/>
    </row>
    <row r="57" spans="1:36">
      <c r="A57" s="4">
        <v>43</v>
      </c>
      <c r="B57" s="6" t="s">
        <v>44</v>
      </c>
      <c r="G57" s="38">
        <v>0</v>
      </c>
      <c r="H57" s="38">
        <v>0</v>
      </c>
      <c r="I57" s="38"/>
      <c r="J57" s="38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5"/>
      <c r="AB57" s="30"/>
      <c r="AC57" s="30"/>
    </row>
    <row r="58" spans="1:36">
      <c r="A58" s="4">
        <v>44</v>
      </c>
      <c r="B58" s="6" t="s">
        <v>45</v>
      </c>
      <c r="G58" s="19" t="e">
        <f t="shared" ref="G58:T58" si="5">G51-G53-G56-G57</f>
        <v>#REF!</v>
      </c>
      <c r="H58" s="19" t="e">
        <f t="shared" si="5"/>
        <v>#REF!</v>
      </c>
      <c r="I58" s="21">
        <f t="shared" si="5"/>
        <v>20759</v>
      </c>
      <c r="J58" s="21">
        <f t="shared" si="5"/>
        <v>16550</v>
      </c>
      <c r="K58" s="21">
        <f t="shared" si="5"/>
        <v>14594</v>
      </c>
      <c r="L58" s="21">
        <f t="shared" si="5"/>
        <v>15349</v>
      </c>
      <c r="M58" s="21">
        <f t="shared" si="5"/>
        <v>14513</v>
      </c>
      <c r="N58" s="20">
        <f t="shared" si="5"/>
        <v>10880</v>
      </c>
      <c r="O58" s="20">
        <f>O51-O53-O56-O57</f>
        <v>12975.811220000003</v>
      </c>
      <c r="P58" s="20">
        <f t="shared" si="5"/>
        <v>11246.632799999992</v>
      </c>
      <c r="Q58" s="20">
        <f t="shared" si="5"/>
        <v>10132.327859999961</v>
      </c>
      <c r="R58" s="20">
        <f>R51-R53-R56-R57</f>
        <v>13474</v>
      </c>
      <c r="S58" s="20">
        <f t="shared" si="5"/>
        <v>15179</v>
      </c>
      <c r="T58" s="20">
        <f t="shared" si="5"/>
        <v>15371</v>
      </c>
      <c r="U58" s="5"/>
      <c r="AB58" s="30"/>
      <c r="AC58" s="30"/>
    </row>
    <row r="59" spans="1:36">
      <c r="A59" s="4">
        <v>45</v>
      </c>
      <c r="B59" s="6" t="s">
        <v>46</v>
      </c>
      <c r="G59" s="37">
        <v>0</v>
      </c>
      <c r="H59" s="37">
        <v>0</v>
      </c>
      <c r="I59" s="31">
        <v>139</v>
      </c>
      <c r="J59" s="31">
        <v>88</v>
      </c>
      <c r="K59" s="31">
        <v>101</v>
      </c>
      <c r="L59" s="31">
        <f>22</f>
        <v>22</v>
      </c>
      <c r="M59" s="31">
        <f>286</f>
        <v>286</v>
      </c>
      <c r="N59" s="31">
        <v>199</v>
      </c>
      <c r="O59" s="31">
        <v>160</v>
      </c>
      <c r="P59" s="31">
        <v>94</v>
      </c>
      <c r="Q59" s="31">
        <v>104</v>
      </c>
      <c r="R59" s="31">
        <v>69</v>
      </c>
      <c r="S59" s="31">
        <v>66</v>
      </c>
      <c r="T59" s="31">
        <v>44</v>
      </c>
      <c r="U59" s="5"/>
      <c r="AB59" s="30"/>
      <c r="AC59" s="30"/>
      <c r="AE59" s="30"/>
      <c r="AF59" s="30"/>
      <c r="AG59" s="30"/>
      <c r="AH59" s="30"/>
      <c r="AI59" s="30"/>
      <c r="AJ59" s="30"/>
    </row>
    <row r="60" spans="1:36">
      <c r="A60" s="4">
        <v>46</v>
      </c>
      <c r="B60" s="6" t="s">
        <v>47</v>
      </c>
      <c r="G60" s="39" t="e">
        <f>+#REF!</f>
        <v>#REF!</v>
      </c>
      <c r="H60" s="39" t="e">
        <f>+#REF!</f>
        <v>#REF!</v>
      </c>
      <c r="I60" s="39">
        <v>2019</v>
      </c>
      <c r="J60" s="39">
        <v>2033</v>
      </c>
      <c r="K60" s="34">
        <f>2046</f>
        <v>2046</v>
      </c>
      <c r="L60" s="34">
        <f>2657</f>
        <v>2657</v>
      </c>
      <c r="M60" s="34">
        <f>1748</f>
        <v>1748</v>
      </c>
      <c r="N60" s="34">
        <v>2278</v>
      </c>
      <c r="O60" s="34">
        <f>2529</f>
        <v>2529</v>
      </c>
      <c r="P60" s="34">
        <f>1547</f>
        <v>1547</v>
      </c>
      <c r="Q60" s="34">
        <f>1732</f>
        <v>1732</v>
      </c>
      <c r="R60" s="34">
        <v>1206</v>
      </c>
      <c r="S60" s="34">
        <v>1033</v>
      </c>
      <c r="T60" s="34">
        <v>1128</v>
      </c>
      <c r="U60" s="5"/>
    </row>
    <row r="61" spans="1:36">
      <c r="A61" s="4">
        <v>47</v>
      </c>
      <c r="B61" s="6" t="s">
        <v>48</v>
      </c>
      <c r="G61" s="19" t="e">
        <f t="shared" ref="G61:T61" si="6">G58+G59+G60</f>
        <v>#REF!</v>
      </c>
      <c r="H61" s="19" t="e">
        <f t="shared" si="6"/>
        <v>#REF!</v>
      </c>
      <c r="I61" s="20">
        <f t="shared" si="6"/>
        <v>22917</v>
      </c>
      <c r="J61" s="20">
        <f t="shared" si="6"/>
        <v>18671</v>
      </c>
      <c r="K61" s="20">
        <f>K58+K59+K60</f>
        <v>16741</v>
      </c>
      <c r="L61" s="20">
        <f t="shared" si="6"/>
        <v>18028</v>
      </c>
      <c r="M61" s="20">
        <f t="shared" si="6"/>
        <v>16547</v>
      </c>
      <c r="N61" s="20">
        <f>N58+N59+N60</f>
        <v>13357</v>
      </c>
      <c r="O61" s="20">
        <f>O58+O59+O60</f>
        <v>15664.811220000003</v>
      </c>
      <c r="P61" s="20">
        <f>P58+P59+P60</f>
        <v>12887.632799999992</v>
      </c>
      <c r="Q61" s="20">
        <f t="shared" si="6"/>
        <v>11968.327859999961</v>
      </c>
      <c r="R61" s="20">
        <f t="shared" si="6"/>
        <v>14749</v>
      </c>
      <c r="S61" s="20">
        <f t="shared" si="6"/>
        <v>16278</v>
      </c>
      <c r="T61" s="20">
        <f t="shared" si="6"/>
        <v>16543</v>
      </c>
      <c r="U61" s="5"/>
    </row>
    <row r="62" spans="1:36">
      <c r="A62" s="4">
        <v>48</v>
      </c>
      <c r="B62" s="6" t="s">
        <v>49</v>
      </c>
      <c r="G62" s="39" t="e">
        <f>+#REF!</f>
        <v>#REF!</v>
      </c>
      <c r="H62" s="39" t="e">
        <f>+#REF!</f>
        <v>#REF!</v>
      </c>
      <c r="I62" s="39">
        <v>6559</v>
      </c>
      <c r="J62" s="39">
        <v>6524</v>
      </c>
      <c r="K62" s="34">
        <f>5612</f>
        <v>5612</v>
      </c>
      <c r="L62" s="34">
        <f>5792</f>
        <v>5792</v>
      </c>
      <c r="M62" s="34">
        <f>6270</f>
        <v>6270</v>
      </c>
      <c r="N62" s="34">
        <v>6633</v>
      </c>
      <c r="O62" s="34">
        <f>6138</f>
        <v>6138</v>
      </c>
      <c r="P62" s="34">
        <f>6155</f>
        <v>6155</v>
      </c>
      <c r="Q62" s="34">
        <f>6782</f>
        <v>6782</v>
      </c>
      <c r="R62" s="34">
        <v>6097</v>
      </c>
      <c r="S62" s="34">
        <f>5414</f>
        <v>5414</v>
      </c>
      <c r="T62" s="34">
        <v>6605</v>
      </c>
      <c r="U62" s="5"/>
    </row>
    <row r="63" spans="1:36">
      <c r="A63" s="4">
        <v>49</v>
      </c>
      <c r="B63" s="6" t="s">
        <v>50</v>
      </c>
      <c r="G63" s="19" t="e">
        <f t="shared" ref="G63:T63" si="7">G61-G62</f>
        <v>#REF!</v>
      </c>
      <c r="H63" s="19" t="e">
        <f t="shared" si="7"/>
        <v>#REF!</v>
      </c>
      <c r="I63" s="20">
        <f t="shared" si="7"/>
        <v>16358</v>
      </c>
      <c r="J63" s="20">
        <f t="shared" si="7"/>
        <v>12147</v>
      </c>
      <c r="K63" s="20">
        <f t="shared" si="7"/>
        <v>11129</v>
      </c>
      <c r="L63" s="20">
        <f t="shared" si="7"/>
        <v>12236</v>
      </c>
      <c r="M63" s="20">
        <f t="shared" si="7"/>
        <v>10277</v>
      </c>
      <c r="N63" s="20">
        <f t="shared" si="7"/>
        <v>6724</v>
      </c>
      <c r="O63" s="20">
        <f t="shared" si="7"/>
        <v>9526.8112200000032</v>
      </c>
      <c r="P63" s="20">
        <f t="shared" si="7"/>
        <v>6732.6327999999921</v>
      </c>
      <c r="Q63" s="20">
        <f t="shared" si="7"/>
        <v>5186.3278599999612</v>
      </c>
      <c r="R63" s="20">
        <f t="shared" si="7"/>
        <v>8652</v>
      </c>
      <c r="S63" s="20">
        <f t="shared" si="7"/>
        <v>10864</v>
      </c>
      <c r="T63" s="20">
        <f t="shared" si="7"/>
        <v>9938</v>
      </c>
      <c r="U63" s="5"/>
    </row>
    <row r="64" spans="1:36">
      <c r="A64" s="4">
        <v>50</v>
      </c>
      <c r="B64" s="6" t="s">
        <v>51</v>
      </c>
      <c r="G64" s="78" t="s">
        <v>52</v>
      </c>
      <c r="H64" s="78" t="s">
        <v>52</v>
      </c>
      <c r="I64" s="40" t="s">
        <v>52</v>
      </c>
      <c r="J64" s="40" t="s">
        <v>52</v>
      </c>
      <c r="K64" s="40" t="s">
        <v>52</v>
      </c>
      <c r="L64" s="40" t="s">
        <v>52</v>
      </c>
      <c r="M64" s="40" t="s">
        <v>52</v>
      </c>
      <c r="N64" s="40" t="s">
        <v>52</v>
      </c>
      <c r="O64" s="40" t="s">
        <v>52</v>
      </c>
      <c r="P64" s="40" t="s">
        <v>52</v>
      </c>
      <c r="Q64" s="40" t="s">
        <v>52</v>
      </c>
      <c r="R64" s="40" t="s">
        <v>52</v>
      </c>
      <c r="S64" s="40" t="s">
        <v>52</v>
      </c>
      <c r="T64" s="40" t="s">
        <v>52</v>
      </c>
      <c r="U64" s="5"/>
    </row>
    <row r="65" spans="1:21">
      <c r="A65" s="4">
        <v>51</v>
      </c>
      <c r="B65" s="6" t="s">
        <v>53</v>
      </c>
      <c r="G65" s="69" t="e">
        <f t="shared" ref="G65:T65" si="8">G63</f>
        <v>#REF!</v>
      </c>
      <c r="H65" s="69" t="e">
        <f t="shared" si="8"/>
        <v>#REF!</v>
      </c>
      <c r="I65" s="26">
        <f t="shared" si="8"/>
        <v>16358</v>
      </c>
      <c r="J65" s="26">
        <f t="shared" si="8"/>
        <v>12147</v>
      </c>
      <c r="K65" s="26">
        <f t="shared" si="8"/>
        <v>11129</v>
      </c>
      <c r="L65" s="26">
        <f t="shared" si="8"/>
        <v>12236</v>
      </c>
      <c r="M65" s="26">
        <f t="shared" si="8"/>
        <v>10277</v>
      </c>
      <c r="N65" s="69">
        <f t="shared" si="8"/>
        <v>6724</v>
      </c>
      <c r="O65" s="69">
        <f t="shared" si="8"/>
        <v>9526.8112200000032</v>
      </c>
      <c r="P65" s="69">
        <f t="shared" si="8"/>
        <v>6732.6327999999921</v>
      </c>
      <c r="Q65" s="69">
        <f t="shared" si="8"/>
        <v>5186.3278599999612</v>
      </c>
      <c r="R65" s="69">
        <f t="shared" si="8"/>
        <v>8652</v>
      </c>
      <c r="S65" s="69">
        <f t="shared" si="8"/>
        <v>10864</v>
      </c>
      <c r="T65" s="69">
        <f t="shared" si="8"/>
        <v>9938</v>
      </c>
      <c r="U65" s="5"/>
    </row>
    <row r="66" spans="1:21">
      <c r="A66" s="4">
        <v>52</v>
      </c>
      <c r="G66" s="5"/>
      <c r="H66" s="5"/>
      <c r="K66" s="18"/>
      <c r="L66" s="18"/>
      <c r="M66" s="18"/>
      <c r="N66" s="18"/>
      <c r="O66" s="16"/>
      <c r="P66" s="16"/>
      <c r="Q66" s="16"/>
      <c r="R66" s="16"/>
      <c r="S66" s="16"/>
      <c r="T66" s="16"/>
    </row>
    <row r="67" spans="1:21">
      <c r="A67" s="4">
        <v>53</v>
      </c>
      <c r="B67" s="6" t="s">
        <v>54</v>
      </c>
      <c r="G67" s="44" t="e">
        <f t="shared" ref="G67:T67" si="9">ROUND(G59/G65,4)</f>
        <v>#REF!</v>
      </c>
      <c r="H67" s="44" t="e">
        <f t="shared" si="9"/>
        <v>#REF!</v>
      </c>
      <c r="I67" s="41">
        <f t="shared" ref="I67:O67" si="10">I59/I63</f>
        <v>8.4973713167868937E-3</v>
      </c>
      <c r="J67" s="41">
        <f t="shared" si="10"/>
        <v>7.2445871408578248E-3</v>
      </c>
      <c r="K67" s="41">
        <f t="shared" si="10"/>
        <v>9.0753886243148535E-3</v>
      </c>
      <c r="L67" s="41">
        <f t="shared" si="10"/>
        <v>1.7979731938542007E-3</v>
      </c>
      <c r="M67" s="41">
        <f t="shared" si="10"/>
        <v>2.7829133015471443E-2</v>
      </c>
      <c r="N67" s="41">
        <f>N59/N63</f>
        <v>2.9595478881618086E-2</v>
      </c>
      <c r="O67" s="41">
        <f t="shared" si="10"/>
        <v>1.6794706676259714E-2</v>
      </c>
      <c r="P67" s="42">
        <f t="shared" si="9"/>
        <v>1.4E-2</v>
      </c>
      <c r="Q67" s="42">
        <f t="shared" si="9"/>
        <v>2.01E-2</v>
      </c>
      <c r="R67" s="42">
        <f t="shared" si="9"/>
        <v>8.0000000000000002E-3</v>
      </c>
      <c r="S67" s="42">
        <f t="shared" si="9"/>
        <v>6.1000000000000004E-3</v>
      </c>
      <c r="T67" s="42">
        <f t="shared" si="9"/>
        <v>4.4000000000000003E-3</v>
      </c>
    </row>
    <row r="68" spans="1:21">
      <c r="A68" s="4">
        <v>54</v>
      </c>
      <c r="B68" s="6" t="s">
        <v>55</v>
      </c>
      <c r="G68" s="19"/>
      <c r="H68" s="19"/>
      <c r="I68" s="19"/>
      <c r="J68" s="19"/>
      <c r="K68" s="20"/>
      <c r="L68" s="20"/>
      <c r="M68" s="20"/>
      <c r="N68" s="20"/>
      <c r="O68" s="21"/>
      <c r="P68" s="21"/>
      <c r="Q68" s="21"/>
      <c r="R68" s="21"/>
      <c r="S68" s="21"/>
      <c r="T68" s="21"/>
    </row>
    <row r="69" spans="1:21">
      <c r="A69" s="4">
        <v>55</v>
      </c>
      <c r="B69" s="6" t="s">
        <v>56</v>
      </c>
      <c r="G69" s="44" t="e">
        <f t="shared" ref="G69:T69" si="11">ROUND(G59/G65,4)</f>
        <v>#REF!</v>
      </c>
      <c r="H69" s="44" t="e">
        <f t="shared" si="11"/>
        <v>#REF!</v>
      </c>
      <c r="I69" s="42">
        <f t="shared" si="11"/>
        <v>8.5000000000000006E-3</v>
      </c>
      <c r="J69" s="42">
        <f t="shared" si="11"/>
        <v>7.1999999999999998E-3</v>
      </c>
      <c r="K69" s="42">
        <f t="shared" si="11"/>
        <v>9.1000000000000004E-3</v>
      </c>
      <c r="L69" s="42">
        <f t="shared" si="11"/>
        <v>1.8E-3</v>
      </c>
      <c r="M69" s="42">
        <f t="shared" si="11"/>
        <v>2.7799999999999998E-2</v>
      </c>
      <c r="N69" s="42">
        <f>ROUND(N59/N65,4)</f>
        <v>2.9600000000000001E-2</v>
      </c>
      <c r="O69" s="42">
        <f t="shared" si="11"/>
        <v>1.6799999999999999E-2</v>
      </c>
      <c r="P69" s="42">
        <f t="shared" si="11"/>
        <v>1.4E-2</v>
      </c>
      <c r="Q69" s="42">
        <f t="shared" si="11"/>
        <v>2.01E-2</v>
      </c>
      <c r="R69" s="42">
        <f t="shared" si="11"/>
        <v>8.0000000000000002E-3</v>
      </c>
      <c r="S69" s="42">
        <f t="shared" si="11"/>
        <v>6.1000000000000004E-3</v>
      </c>
      <c r="T69" s="42">
        <f t="shared" si="11"/>
        <v>4.4000000000000003E-3</v>
      </c>
    </row>
    <row r="70" spans="1:21">
      <c r="A70" s="4">
        <v>56</v>
      </c>
      <c r="G70" s="5"/>
      <c r="H70" s="5"/>
      <c r="K70" s="18"/>
      <c r="L70" s="18"/>
      <c r="M70" s="18"/>
      <c r="N70" s="18"/>
      <c r="O70" s="16"/>
      <c r="P70" s="16"/>
      <c r="Q70" s="16"/>
      <c r="R70" s="16"/>
      <c r="S70" s="16"/>
      <c r="T70" s="16"/>
    </row>
    <row r="71" spans="1:21">
      <c r="A71" s="4">
        <v>57</v>
      </c>
      <c r="G71" s="5"/>
      <c r="H71" s="5"/>
      <c r="K71" s="18"/>
      <c r="L71" s="18"/>
      <c r="M71" s="18"/>
      <c r="N71" s="18"/>
      <c r="O71" s="16"/>
      <c r="P71" s="16"/>
      <c r="Q71" s="16"/>
      <c r="R71" s="16"/>
      <c r="S71" s="16"/>
      <c r="T71" s="16"/>
    </row>
    <row r="72" spans="1:21">
      <c r="A72" s="4">
        <v>58</v>
      </c>
      <c r="G72" s="5"/>
      <c r="H72" s="5"/>
      <c r="K72" s="18"/>
      <c r="L72" s="18"/>
      <c r="M72" s="18"/>
      <c r="N72" s="43"/>
      <c r="O72" s="16"/>
      <c r="P72" s="16"/>
      <c r="Q72" s="16"/>
      <c r="R72" s="16"/>
      <c r="S72" s="16"/>
      <c r="T72" s="16"/>
    </row>
    <row r="73" spans="1:21">
      <c r="A73" s="4">
        <v>59</v>
      </c>
      <c r="B73" s="14" t="s">
        <v>57</v>
      </c>
      <c r="G73" s="5"/>
      <c r="H73" s="5"/>
      <c r="K73" s="18"/>
      <c r="L73" s="18"/>
      <c r="M73" s="18"/>
      <c r="N73" s="18"/>
      <c r="O73" s="16"/>
      <c r="P73" s="16"/>
      <c r="Q73" s="16"/>
      <c r="R73" s="16"/>
      <c r="S73" s="16"/>
      <c r="T73" s="16"/>
    </row>
    <row r="74" spans="1:21">
      <c r="A74" s="4">
        <v>60</v>
      </c>
      <c r="B74" s="6" t="s">
        <v>58</v>
      </c>
      <c r="C74" s="15"/>
      <c r="G74" s="44" t="e">
        <v>#REF!</v>
      </c>
      <c r="H74" s="44">
        <v>7.9446351965234085E-2</v>
      </c>
      <c r="I74" s="44">
        <v>1.49E-2</v>
      </c>
      <c r="J74" s="44">
        <v>1.17E-2</v>
      </c>
      <c r="K74" s="41">
        <v>1.2200000000000001E-2</v>
      </c>
      <c r="L74" s="41">
        <v>1.03E-2</v>
      </c>
      <c r="M74" s="41">
        <v>3.2300000000000002E-2</v>
      </c>
      <c r="N74" s="41">
        <v>6.8000000000000005E-2</v>
      </c>
      <c r="O74" s="41">
        <v>4.3999999999999997E-2</v>
      </c>
      <c r="P74" s="41">
        <v>5.6000000000000001E-2</v>
      </c>
      <c r="Q74" s="41">
        <v>0.05</v>
      </c>
      <c r="R74" s="42">
        <v>3.3000000000000002E-2</v>
      </c>
      <c r="S74" s="42">
        <v>1.0999999999999999E-2</v>
      </c>
      <c r="T74" s="42">
        <v>1.7000000000000001E-2</v>
      </c>
    </row>
    <row r="75" spans="1:21">
      <c r="A75" s="4">
        <v>61</v>
      </c>
      <c r="B75" s="6" t="s">
        <v>59</v>
      </c>
      <c r="F75" s="17"/>
      <c r="G75" s="44">
        <v>6.8699999999999997E-2</v>
      </c>
      <c r="H75" s="44">
        <v>6.6400000000000001E-2</v>
      </c>
      <c r="I75" s="44">
        <v>6.0299999999999999E-2</v>
      </c>
      <c r="J75" s="44">
        <v>6.2600000000000003E-2</v>
      </c>
      <c r="K75" s="41">
        <v>6.5100000000000005E-2</v>
      </c>
      <c r="L75" s="41">
        <v>6.7500000000000004E-2</v>
      </c>
      <c r="M75" s="41">
        <v>6.88E-2</v>
      </c>
      <c r="N75" s="41">
        <v>6.9000000000000006E-2</v>
      </c>
      <c r="O75" s="41">
        <v>6.0999999999999999E-2</v>
      </c>
      <c r="P75" s="41">
        <v>6.0999999999999999E-2</v>
      </c>
      <c r="Q75" s="41">
        <v>6.0999999999999999E-2</v>
      </c>
      <c r="R75" s="42">
        <v>5.6000000000000001E-2</v>
      </c>
      <c r="S75" s="42">
        <v>6.9000000000000006E-2</v>
      </c>
      <c r="T75" s="42">
        <v>6.8000000000000005E-2</v>
      </c>
    </row>
    <row r="76" spans="1:21">
      <c r="A76" s="4">
        <v>62</v>
      </c>
      <c r="B76" s="6" t="s">
        <v>60</v>
      </c>
      <c r="F76" s="17"/>
      <c r="G76" s="51" t="s">
        <v>52</v>
      </c>
      <c r="H76" s="51" t="s">
        <v>52</v>
      </c>
      <c r="I76" s="33" t="s">
        <v>52</v>
      </c>
      <c r="J76" s="33" t="s">
        <v>52</v>
      </c>
      <c r="K76" s="33" t="s">
        <v>52</v>
      </c>
      <c r="L76" s="33" t="s">
        <v>52</v>
      </c>
      <c r="M76" s="33" t="s">
        <v>52</v>
      </c>
      <c r="N76" s="33" t="s">
        <v>52</v>
      </c>
      <c r="O76" s="33" t="s">
        <v>52</v>
      </c>
      <c r="P76" s="33" t="s">
        <v>52</v>
      </c>
      <c r="Q76" s="33" t="s">
        <v>52</v>
      </c>
      <c r="R76" s="33" t="s">
        <v>52</v>
      </c>
      <c r="S76" s="33" t="s">
        <v>52</v>
      </c>
      <c r="T76" s="33" t="s">
        <v>52</v>
      </c>
    </row>
    <row r="77" spans="1:21">
      <c r="A77" s="4">
        <v>63</v>
      </c>
      <c r="F77" s="17"/>
      <c r="G77" s="19"/>
      <c r="H77" s="19"/>
      <c r="I77" s="19"/>
      <c r="J77" s="19"/>
      <c r="K77" s="20"/>
      <c r="L77" s="20"/>
      <c r="M77" s="20"/>
      <c r="N77" s="20"/>
      <c r="O77" s="21"/>
      <c r="P77" s="21"/>
      <c r="Q77" s="21"/>
      <c r="R77" s="21"/>
      <c r="S77" s="21"/>
      <c r="T77" s="21"/>
    </row>
    <row r="78" spans="1:21">
      <c r="A78" s="4">
        <v>64</v>
      </c>
      <c r="B78" s="14" t="s">
        <v>61</v>
      </c>
      <c r="F78" s="17"/>
      <c r="G78" s="19"/>
      <c r="H78" s="19"/>
      <c r="I78" s="19"/>
      <c r="J78" s="19"/>
      <c r="K78" s="20"/>
      <c r="L78" s="20"/>
      <c r="M78" s="20"/>
      <c r="N78" s="20"/>
      <c r="O78" s="21"/>
      <c r="P78" s="21"/>
      <c r="Q78" s="21"/>
      <c r="R78" s="21"/>
      <c r="S78" s="21"/>
      <c r="T78" s="21"/>
    </row>
    <row r="79" spans="1:21">
      <c r="A79" s="4">
        <v>65</v>
      </c>
      <c r="B79" s="6" t="s">
        <v>62</v>
      </c>
      <c r="C79" s="15"/>
      <c r="D79" s="15"/>
      <c r="F79" s="17"/>
      <c r="G79" s="45" t="e">
        <f>(+G56+G61)/G62</f>
        <v>#REF!</v>
      </c>
      <c r="H79" s="45" t="e">
        <f t="shared" ref="H79" si="12">(+H56+H61)/H62</f>
        <v>#REF!</v>
      </c>
      <c r="I79" s="45">
        <v>4.6900000000000004</v>
      </c>
      <c r="J79" s="45">
        <v>3.91</v>
      </c>
      <c r="K79" s="46">
        <v>3.0571918341904318</v>
      </c>
      <c r="L79" s="46">
        <v>2.9660460457804634</v>
      </c>
      <c r="M79" s="46">
        <v>3.0043972293563703</v>
      </c>
      <c r="N79" s="46">
        <v>2.8387360945505051</v>
      </c>
      <c r="O79" s="46">
        <v>3.06</v>
      </c>
      <c r="P79" s="46">
        <v>2.75</v>
      </c>
      <c r="Q79" s="46">
        <v>2.5499999999999998</v>
      </c>
      <c r="R79" s="47">
        <v>2.59</v>
      </c>
      <c r="S79" s="47">
        <v>3.05</v>
      </c>
      <c r="T79" s="47">
        <v>2.75</v>
      </c>
    </row>
    <row r="80" spans="1:21">
      <c r="A80" s="4">
        <v>66</v>
      </c>
      <c r="B80" s="6" t="s">
        <v>63</v>
      </c>
      <c r="F80" s="17"/>
      <c r="G80" s="45" t="e">
        <f>(+G56+G61-G59)/G62</f>
        <v>#REF!</v>
      </c>
      <c r="H80" s="45" t="e">
        <f t="shared" ref="H80" si="13">(+H56+H61-H59)/H62</f>
        <v>#REF!</v>
      </c>
      <c r="I80" s="45">
        <v>4.7</v>
      </c>
      <c r="J80" s="45">
        <v>3.92</v>
      </c>
      <c r="K80" s="46">
        <v>3.0409960261804581</v>
      </c>
      <c r="L80" s="46">
        <v>2.9527909831987955</v>
      </c>
      <c r="M80" s="46">
        <v>2.9852512711754482</v>
      </c>
      <c r="N80" s="46">
        <v>2.8022744139729294</v>
      </c>
      <c r="O80" s="48">
        <v>3.12</v>
      </c>
      <c r="P80" s="46">
        <v>2.81</v>
      </c>
      <c r="Q80" s="46">
        <v>2.62</v>
      </c>
      <c r="R80" s="49">
        <v>2.64</v>
      </c>
      <c r="S80" s="47">
        <v>3.11</v>
      </c>
      <c r="T80" s="47">
        <v>2.78</v>
      </c>
    </row>
    <row r="81" spans="1:20">
      <c r="A81" s="4">
        <v>67</v>
      </c>
      <c r="B81" s="6" t="s">
        <v>64</v>
      </c>
      <c r="F81" s="17"/>
      <c r="G81" s="45" t="e">
        <f>G61/G62</f>
        <v>#REF!</v>
      </c>
      <c r="H81" s="45" t="e">
        <f t="shared" ref="H81" si="14">H61/H62</f>
        <v>#REF!</v>
      </c>
      <c r="I81" s="45">
        <v>3.24</v>
      </c>
      <c r="J81" s="45">
        <v>2.89</v>
      </c>
      <c r="K81" s="46">
        <v>2.3614121580460989</v>
      </c>
      <c r="L81" s="46">
        <v>2.2575233976506173</v>
      </c>
      <c r="M81" s="46">
        <v>2.2312955612628738</v>
      </c>
      <c r="N81" s="46">
        <v>2.200873963233271</v>
      </c>
      <c r="O81" s="46">
        <v>2.2599999999999998</v>
      </c>
      <c r="P81" s="46">
        <v>2.12</v>
      </c>
      <c r="Q81" s="46">
        <v>1.96</v>
      </c>
      <c r="R81" s="47">
        <v>1.99</v>
      </c>
      <c r="S81" s="47">
        <v>2.2799999999999998</v>
      </c>
      <c r="T81" s="47">
        <v>2.1</v>
      </c>
    </row>
    <row r="82" spans="1:20">
      <c r="A82" s="4">
        <v>68</v>
      </c>
      <c r="B82" s="6" t="s">
        <v>65</v>
      </c>
      <c r="F82" s="17"/>
      <c r="G82" s="45" t="e">
        <v>#REF!</v>
      </c>
      <c r="H82" s="45" t="e">
        <v>#REF!</v>
      </c>
      <c r="I82" s="45">
        <v>4.32</v>
      </c>
      <c r="J82" s="45">
        <v>3.6</v>
      </c>
      <c r="K82" s="46">
        <v>2.84</v>
      </c>
      <c r="L82" s="46">
        <v>2.78</v>
      </c>
      <c r="M82" s="46">
        <v>2.78</v>
      </c>
      <c r="N82" s="46">
        <v>2.5499999999999998</v>
      </c>
      <c r="O82" s="46">
        <v>2.76</v>
      </c>
      <c r="P82" s="46">
        <v>2.687794631619842</v>
      </c>
      <c r="Q82" s="46">
        <v>2.4970447584226276</v>
      </c>
      <c r="R82" s="47">
        <v>2.54</v>
      </c>
      <c r="S82" s="47">
        <v>2.95</v>
      </c>
      <c r="T82" s="47">
        <v>2.84</v>
      </c>
    </row>
    <row r="83" spans="1:20">
      <c r="A83" s="4">
        <v>69</v>
      </c>
      <c r="B83" s="6" t="s">
        <v>66</v>
      </c>
      <c r="F83" s="17"/>
      <c r="G83" s="45" t="e">
        <f>(G61-G59)/G62</f>
        <v>#REF!</v>
      </c>
      <c r="H83" s="45" t="e">
        <f t="shared" ref="H83" si="15">(H61-H59)/H62</f>
        <v>#REF!</v>
      </c>
      <c r="I83" s="45">
        <v>3.25</v>
      </c>
      <c r="J83" s="45">
        <v>2.81</v>
      </c>
      <c r="K83" s="46">
        <v>2.3452163500361256</v>
      </c>
      <c r="L83" s="46">
        <v>2.244268335068949</v>
      </c>
      <c r="M83" s="46">
        <v>2.2121496030819521</v>
      </c>
      <c r="N83" s="46">
        <v>2.1644122826556949</v>
      </c>
      <c r="O83" s="46">
        <v>2.31</v>
      </c>
      <c r="P83" s="46">
        <v>2.16</v>
      </c>
      <c r="Q83" s="46">
        <v>2.0099999999999998</v>
      </c>
      <c r="R83" s="47">
        <v>2.02</v>
      </c>
      <c r="S83" s="47">
        <v>2.3199999999999998</v>
      </c>
      <c r="T83" s="47">
        <v>2.13</v>
      </c>
    </row>
    <row r="84" spans="1:20">
      <c r="A84" s="4">
        <v>70</v>
      </c>
      <c r="B84" s="6" t="s">
        <v>67</v>
      </c>
      <c r="G84" s="45" t="e">
        <f t="shared" ref="G84" si="16">(+G56+G61)/(G62*(1-0.35))</f>
        <v>#REF!</v>
      </c>
      <c r="H84" s="45" t="e">
        <f>(+H56+H61)/(H62*(1-0.35))</f>
        <v>#REF!</v>
      </c>
      <c r="I84" s="45">
        <v>3.02</v>
      </c>
      <c r="J84" s="45">
        <v>2.6</v>
      </c>
      <c r="K84" s="46">
        <v>2.2116799519301451</v>
      </c>
      <c r="L84" s="46">
        <v>2.1340881930445068</v>
      </c>
      <c r="M84" s="46">
        <v>2.0837815317021438</v>
      </c>
      <c r="N84" s="46">
        <v>2.1800332256334456</v>
      </c>
      <c r="O84" s="46">
        <v>2.15</v>
      </c>
      <c r="P84" s="46">
        <v>2.04</v>
      </c>
      <c r="Q84" s="46">
        <v>1.89</v>
      </c>
      <c r="R84" s="47">
        <v>1.92</v>
      </c>
      <c r="S84" s="47">
        <v>2.16</v>
      </c>
      <c r="T84" s="47">
        <v>1.99</v>
      </c>
    </row>
    <row r="85" spans="1:20">
      <c r="A85" s="4">
        <v>71</v>
      </c>
      <c r="F85" s="50"/>
      <c r="G85" s="19"/>
      <c r="H85" s="19"/>
      <c r="I85" s="19"/>
      <c r="J85" s="19"/>
      <c r="K85" s="20"/>
      <c r="L85" s="20"/>
      <c r="M85" s="20"/>
      <c r="N85" s="20"/>
      <c r="O85" s="20"/>
      <c r="P85" s="20"/>
      <c r="Q85" s="20"/>
      <c r="R85" s="21"/>
      <c r="S85" s="21"/>
      <c r="T85" s="21"/>
    </row>
    <row r="86" spans="1:20">
      <c r="A86" s="4">
        <v>72</v>
      </c>
      <c r="B86" s="14" t="s">
        <v>68</v>
      </c>
      <c r="G86" s="19"/>
      <c r="H86" s="19"/>
      <c r="I86" s="19"/>
      <c r="J86" s="19"/>
      <c r="K86" s="20"/>
      <c r="L86" s="20"/>
      <c r="M86" s="20"/>
      <c r="N86" s="20"/>
      <c r="O86" s="21"/>
      <c r="P86" s="21"/>
      <c r="Q86" s="21"/>
      <c r="R86" s="21"/>
      <c r="S86" s="21"/>
      <c r="T86" s="21"/>
    </row>
    <row r="87" spans="1:20">
      <c r="A87" s="4">
        <v>73</v>
      </c>
      <c r="B87" s="6" t="s">
        <v>69</v>
      </c>
      <c r="C87" s="15"/>
      <c r="D87" s="15"/>
      <c r="G87" s="51" t="s">
        <v>52</v>
      </c>
      <c r="H87" s="79" t="str">
        <f>I87</f>
        <v>A2</v>
      </c>
      <c r="I87" s="32" t="s">
        <v>71</v>
      </c>
      <c r="J87" s="32" t="s">
        <v>72</v>
      </c>
      <c r="K87" s="32" t="s">
        <v>72</v>
      </c>
      <c r="L87" s="32" t="s">
        <v>72</v>
      </c>
      <c r="M87" s="32" t="s">
        <v>70</v>
      </c>
      <c r="N87" s="32" t="s">
        <v>70</v>
      </c>
      <c r="O87" s="32" t="s">
        <v>73</v>
      </c>
      <c r="P87" s="32" t="s">
        <v>73</v>
      </c>
      <c r="Q87" s="32" t="s">
        <v>73</v>
      </c>
      <c r="R87" s="32" t="s">
        <v>73</v>
      </c>
      <c r="S87" s="32" t="s">
        <v>73</v>
      </c>
      <c r="T87" s="33" t="s">
        <v>74</v>
      </c>
    </row>
    <row r="88" spans="1:20">
      <c r="A88" s="4">
        <v>74</v>
      </c>
      <c r="B88" s="6" t="s">
        <v>75</v>
      </c>
      <c r="F88" s="17"/>
      <c r="G88" s="51" t="s">
        <v>52</v>
      </c>
      <c r="H88" s="79" t="str">
        <f>I88</f>
        <v>A-</v>
      </c>
      <c r="I88" s="32" t="s">
        <v>77</v>
      </c>
      <c r="J88" s="32" t="s">
        <v>77</v>
      </c>
      <c r="K88" s="32" t="s">
        <v>78</v>
      </c>
      <c r="L88" s="32" t="s">
        <v>78</v>
      </c>
      <c r="M88" s="32" t="s">
        <v>78</v>
      </c>
      <c r="N88" s="32" t="s">
        <v>78</v>
      </c>
      <c r="O88" s="32" t="s">
        <v>76</v>
      </c>
      <c r="P88" s="32" t="s">
        <v>76</v>
      </c>
      <c r="Q88" s="32" t="s">
        <v>76</v>
      </c>
      <c r="R88" s="32" t="s">
        <v>76</v>
      </c>
      <c r="S88" s="32" t="s">
        <v>76</v>
      </c>
      <c r="T88" s="33" t="s">
        <v>77</v>
      </c>
    </row>
    <row r="89" spans="1:20">
      <c r="A89" s="4">
        <v>75</v>
      </c>
      <c r="B89" s="6" t="s">
        <v>79</v>
      </c>
      <c r="G89" s="51" t="s">
        <v>52</v>
      </c>
      <c r="H89" s="51" t="s">
        <v>52</v>
      </c>
      <c r="I89" s="33" t="s">
        <v>52</v>
      </c>
      <c r="J89" s="33" t="s">
        <v>52</v>
      </c>
      <c r="K89" s="33" t="s">
        <v>52</v>
      </c>
      <c r="L89" s="33" t="s">
        <v>52</v>
      </c>
      <c r="M89" s="33" t="s">
        <v>52</v>
      </c>
      <c r="N89" s="33" t="s">
        <v>52</v>
      </c>
      <c r="O89" s="33" t="s">
        <v>52</v>
      </c>
      <c r="P89" s="33" t="s">
        <v>52</v>
      </c>
      <c r="Q89" s="33" t="s">
        <v>52</v>
      </c>
      <c r="R89" s="33" t="s">
        <v>52</v>
      </c>
      <c r="S89" s="33" t="s">
        <v>52</v>
      </c>
      <c r="T89" s="33" t="s">
        <v>52</v>
      </c>
    </row>
    <row r="90" spans="1:20">
      <c r="A90" s="4">
        <v>76</v>
      </c>
      <c r="B90" s="6" t="s">
        <v>80</v>
      </c>
      <c r="G90" s="51" t="s">
        <v>52</v>
      </c>
      <c r="H90" s="51" t="s">
        <v>52</v>
      </c>
      <c r="I90" s="33" t="s">
        <v>52</v>
      </c>
      <c r="J90" s="33" t="s">
        <v>52</v>
      </c>
      <c r="K90" s="33" t="s">
        <v>52</v>
      </c>
      <c r="L90" s="33" t="s">
        <v>52</v>
      </c>
      <c r="M90" s="33" t="s">
        <v>52</v>
      </c>
      <c r="N90" s="33" t="s">
        <v>52</v>
      </c>
      <c r="O90" s="33" t="s">
        <v>52</v>
      </c>
      <c r="P90" s="33" t="s">
        <v>52</v>
      </c>
      <c r="Q90" s="33" t="s">
        <v>52</v>
      </c>
      <c r="R90" s="33" t="s">
        <v>52</v>
      </c>
      <c r="S90" s="33" t="s">
        <v>52</v>
      </c>
      <c r="T90" s="33" t="s">
        <v>52</v>
      </c>
    </row>
    <row r="91" spans="1:20">
      <c r="A91" s="4">
        <v>77</v>
      </c>
      <c r="G91" s="51" t="s">
        <v>14</v>
      </c>
      <c r="H91" s="51"/>
      <c r="I91" s="51"/>
      <c r="J91" s="51"/>
      <c r="K91" s="32"/>
      <c r="L91" s="32"/>
      <c r="M91" s="32"/>
      <c r="N91" s="32"/>
      <c r="O91" s="21"/>
      <c r="P91" s="21"/>
      <c r="Q91" s="21"/>
      <c r="R91" s="21"/>
      <c r="S91" s="21"/>
      <c r="T91" s="21"/>
    </row>
    <row r="92" spans="1:20">
      <c r="A92" s="4">
        <v>78</v>
      </c>
      <c r="B92" s="14" t="s">
        <v>81</v>
      </c>
      <c r="G92" s="51"/>
      <c r="H92" s="51"/>
      <c r="I92" s="51"/>
      <c r="J92" s="51"/>
      <c r="K92" s="32"/>
      <c r="L92" s="32"/>
      <c r="M92" s="32"/>
      <c r="N92" s="32"/>
      <c r="O92" s="21"/>
      <c r="P92" s="21"/>
      <c r="Q92" s="21"/>
      <c r="R92" s="21"/>
      <c r="S92" s="21"/>
      <c r="T92" s="21"/>
    </row>
    <row r="93" spans="1:20">
      <c r="A93" s="4">
        <v>79</v>
      </c>
      <c r="B93" s="6" t="s">
        <v>82</v>
      </c>
      <c r="C93" s="15"/>
      <c r="D93" s="15"/>
      <c r="E93" s="15"/>
      <c r="G93" s="51" t="s">
        <v>52</v>
      </c>
      <c r="H93" s="51" t="s">
        <v>52</v>
      </c>
      <c r="I93" s="51">
        <v>100388</v>
      </c>
      <c r="J93" s="51">
        <v>90640</v>
      </c>
      <c r="K93" s="20">
        <v>90240</v>
      </c>
      <c r="L93" s="20">
        <v>90296</v>
      </c>
      <c r="M93" s="20">
        <v>90164</v>
      </c>
      <c r="N93" s="20">
        <v>92552</v>
      </c>
      <c r="O93" s="20">
        <v>90814</v>
      </c>
      <c r="P93" s="20">
        <v>89326</v>
      </c>
      <c r="Q93" s="20">
        <v>81739</v>
      </c>
      <c r="R93" s="20">
        <v>80539</v>
      </c>
      <c r="S93" s="20">
        <v>62800</v>
      </c>
      <c r="T93" s="20">
        <v>51476</v>
      </c>
    </row>
    <row r="94" spans="1:20">
      <c r="A94" s="4">
        <v>80</v>
      </c>
      <c r="B94" s="6" t="s">
        <v>83</v>
      </c>
      <c r="G94" s="51" t="s">
        <v>52</v>
      </c>
      <c r="H94" s="51" t="s">
        <v>52</v>
      </c>
      <c r="I94" s="51"/>
      <c r="J94" s="51"/>
      <c r="K94" s="20"/>
      <c r="L94" s="20"/>
      <c r="M94" s="20"/>
      <c r="N94" s="20"/>
      <c r="O94" s="20"/>
      <c r="P94" s="20"/>
      <c r="Q94" s="20"/>
      <c r="R94" s="20"/>
      <c r="S94" s="20"/>
      <c r="T94" s="20"/>
    </row>
    <row r="95" spans="1:20">
      <c r="A95" s="4">
        <v>81</v>
      </c>
      <c r="B95" s="52" t="s">
        <v>84</v>
      </c>
      <c r="G95" s="51" t="s">
        <v>52</v>
      </c>
      <c r="H95" s="51" t="s">
        <v>52</v>
      </c>
      <c r="I95" s="51">
        <v>97608</v>
      </c>
      <c r="J95" s="51">
        <v>91711</v>
      </c>
      <c r="K95" s="20">
        <v>91172</v>
      </c>
      <c r="L95" s="20">
        <v>90652</v>
      </c>
      <c r="M95" s="20">
        <v>92422</v>
      </c>
      <c r="N95" s="20">
        <v>91620</v>
      </c>
      <c r="O95" s="20">
        <v>89941</v>
      </c>
      <c r="P95" s="20">
        <v>87486</v>
      </c>
      <c r="Q95" s="20">
        <v>81173</v>
      </c>
      <c r="R95" s="20">
        <v>79012</v>
      </c>
      <c r="S95" s="20">
        <v>54416</v>
      </c>
      <c r="T95" s="20">
        <v>46496</v>
      </c>
    </row>
    <row r="96" spans="1:20">
      <c r="A96" s="4">
        <v>82</v>
      </c>
      <c r="B96" s="52" t="s">
        <v>85</v>
      </c>
      <c r="G96" s="51" t="s">
        <v>52</v>
      </c>
      <c r="H96" s="51" t="s">
        <v>52</v>
      </c>
      <c r="I96" s="53">
        <v>2.96</v>
      </c>
      <c r="J96" s="53">
        <v>2.64</v>
      </c>
      <c r="K96" s="46">
        <v>2.37</v>
      </c>
      <c r="L96" s="46">
        <v>2.27</v>
      </c>
      <c r="M96" s="46">
        <v>2.2000000000000002</v>
      </c>
      <c r="N96" s="46">
        <v>2.0699999999999998</v>
      </c>
      <c r="O96" s="46">
        <v>1.99</v>
      </c>
      <c r="P96" s="46">
        <v>1.91</v>
      </c>
      <c r="Q96" s="46">
        <v>1.81</v>
      </c>
      <c r="R96" s="46">
        <v>1.72</v>
      </c>
      <c r="S96" s="47">
        <v>1.58</v>
      </c>
      <c r="T96" s="47">
        <v>1.54</v>
      </c>
    </row>
    <row r="97" spans="1:20">
      <c r="A97" s="4">
        <v>83</v>
      </c>
      <c r="B97" s="6" t="s">
        <v>86</v>
      </c>
      <c r="G97" s="51" t="s">
        <v>52</v>
      </c>
      <c r="H97" s="51" t="s">
        <v>52</v>
      </c>
      <c r="I97" s="48">
        <v>1.48</v>
      </c>
      <c r="J97" s="48">
        <v>1.4</v>
      </c>
      <c r="K97" s="48">
        <v>1.38</v>
      </c>
      <c r="L97" s="48">
        <v>1.36</v>
      </c>
      <c r="M97" s="48">
        <v>1.34</v>
      </c>
      <c r="N97" s="48">
        <v>1.32</v>
      </c>
      <c r="O97" s="48">
        <v>1.3</v>
      </c>
      <c r="P97" s="48">
        <v>1.28</v>
      </c>
      <c r="Q97" s="48">
        <v>1.26</v>
      </c>
      <c r="R97" s="48">
        <v>1.24</v>
      </c>
      <c r="S97" s="49">
        <v>1.22</v>
      </c>
      <c r="T97" s="49">
        <v>1.2</v>
      </c>
    </row>
    <row r="98" spans="1:20">
      <c r="A98" s="4">
        <v>84</v>
      </c>
      <c r="B98" s="6" t="s">
        <v>87</v>
      </c>
      <c r="G98" s="51" t="s">
        <v>52</v>
      </c>
      <c r="H98" s="51" t="s">
        <v>52</v>
      </c>
      <c r="I98" s="48">
        <v>1.48</v>
      </c>
      <c r="J98" s="48">
        <v>1.4</v>
      </c>
      <c r="K98" s="48">
        <v>1.38</v>
      </c>
      <c r="L98" s="48">
        <v>1.36</v>
      </c>
      <c r="M98" s="48">
        <v>1.34</v>
      </c>
      <c r="N98" s="48">
        <v>1.32</v>
      </c>
      <c r="O98" s="48">
        <v>1.3</v>
      </c>
      <c r="P98" s="48">
        <v>1.28</v>
      </c>
      <c r="Q98" s="48">
        <v>1.26</v>
      </c>
      <c r="R98" s="48">
        <v>1.24</v>
      </c>
      <c r="S98" s="49">
        <v>1.22</v>
      </c>
      <c r="T98" s="49">
        <v>1.2</v>
      </c>
    </row>
    <row r="99" spans="1:20">
      <c r="A99" s="4">
        <v>85</v>
      </c>
      <c r="B99" s="6" t="s">
        <v>88</v>
      </c>
      <c r="G99" s="51" t="s">
        <v>52</v>
      </c>
      <c r="H99" s="51" t="s">
        <v>52</v>
      </c>
      <c r="I99" s="51"/>
      <c r="J99" s="51"/>
      <c r="K99" s="32"/>
      <c r="L99" s="32"/>
      <c r="M99" s="32"/>
      <c r="N99" s="32"/>
      <c r="O99" s="20"/>
      <c r="P99" s="20"/>
      <c r="Q99" s="20"/>
      <c r="R99" s="20"/>
      <c r="S99" s="21"/>
      <c r="T99" s="21"/>
    </row>
    <row r="100" spans="1:20">
      <c r="A100" s="4">
        <v>86</v>
      </c>
      <c r="B100" s="6" t="s">
        <v>89</v>
      </c>
      <c r="G100" s="51" t="s">
        <v>52</v>
      </c>
      <c r="H100" s="51" t="s">
        <v>52</v>
      </c>
      <c r="I100" s="54">
        <f t="shared" ref="I100:J100" si="17">I98/I96</f>
        <v>0.5</v>
      </c>
      <c r="J100" s="54">
        <f t="shared" si="17"/>
        <v>0.53030303030303028</v>
      </c>
      <c r="K100" s="54">
        <f>K98/K96</f>
        <v>0.58227848101265811</v>
      </c>
      <c r="L100" s="54">
        <f t="shared" ref="L100:N100" si="18">L98/L96</f>
        <v>0.59911894273127753</v>
      </c>
      <c r="M100" s="54">
        <f t="shared" si="18"/>
        <v>0.60909090909090913</v>
      </c>
      <c r="N100" s="54">
        <f t="shared" si="18"/>
        <v>0.63768115942028991</v>
      </c>
      <c r="O100" s="54">
        <f>O98/O96</f>
        <v>0.65326633165829151</v>
      </c>
      <c r="P100" s="54">
        <f>P98/P96</f>
        <v>0.67015706806282727</v>
      </c>
      <c r="Q100" s="54">
        <f>Q98/Q96</f>
        <v>0.69613259668508287</v>
      </c>
      <c r="R100" s="70">
        <f t="shared" ref="R100:T100" si="19">R98/R96</f>
        <v>0.72093023255813959</v>
      </c>
      <c r="S100" s="55">
        <f t="shared" si="19"/>
        <v>0.77215189873417711</v>
      </c>
      <c r="T100" s="55">
        <f t="shared" si="19"/>
        <v>0.77922077922077915</v>
      </c>
    </row>
    <row r="101" spans="1:20">
      <c r="A101" s="4">
        <v>87</v>
      </c>
      <c r="B101" s="6" t="s">
        <v>90</v>
      </c>
      <c r="G101" s="51" t="s">
        <v>52</v>
      </c>
      <c r="H101" s="51" t="s">
        <v>52</v>
      </c>
      <c r="I101" s="51"/>
      <c r="J101" s="51"/>
      <c r="K101" s="32"/>
      <c r="L101" s="32"/>
      <c r="M101" s="32"/>
      <c r="N101" s="32"/>
      <c r="O101" s="20"/>
      <c r="P101" s="20"/>
      <c r="Q101" s="20"/>
      <c r="R101" s="20"/>
      <c r="S101" s="21"/>
      <c r="T101" s="21"/>
    </row>
    <row r="102" spans="1:20">
      <c r="A102" s="4">
        <v>88</v>
      </c>
      <c r="B102" s="6" t="s">
        <v>91</v>
      </c>
      <c r="G102" s="51" t="s">
        <v>52</v>
      </c>
      <c r="H102" s="51" t="s">
        <v>52</v>
      </c>
      <c r="I102" s="53">
        <v>47.06</v>
      </c>
      <c r="J102" s="53">
        <v>36.86</v>
      </c>
      <c r="K102" s="56">
        <v>35.4</v>
      </c>
      <c r="L102" s="56">
        <v>31.72</v>
      </c>
      <c r="M102" s="56">
        <v>30.06</v>
      </c>
      <c r="N102" s="56">
        <v>27.88</v>
      </c>
      <c r="O102" s="56">
        <v>29.46</v>
      </c>
      <c r="P102" s="46">
        <v>33.01</v>
      </c>
      <c r="Q102" s="57">
        <v>28.36</v>
      </c>
      <c r="R102" s="71">
        <v>27.43</v>
      </c>
      <c r="S102" s="58">
        <v>24.99</v>
      </c>
      <c r="T102" s="58">
        <v>23.63</v>
      </c>
    </row>
    <row r="103" spans="1:20">
      <c r="A103" s="4">
        <v>89</v>
      </c>
      <c r="B103" s="6" t="s">
        <v>92</v>
      </c>
      <c r="G103" s="51" t="s">
        <v>52</v>
      </c>
      <c r="H103" s="51" t="s">
        <v>52</v>
      </c>
      <c r="I103" s="53">
        <v>41.08</v>
      </c>
      <c r="J103" s="53">
        <v>33.200000000000003</v>
      </c>
      <c r="K103" s="56">
        <v>30.97</v>
      </c>
      <c r="L103" s="56">
        <v>29.1</v>
      </c>
      <c r="M103" s="56">
        <v>27.39</v>
      </c>
      <c r="N103" s="56">
        <v>21.17</v>
      </c>
      <c r="O103" s="56">
        <v>26.11</v>
      </c>
      <c r="P103" s="46">
        <v>28.45</v>
      </c>
      <c r="Q103" s="57">
        <v>25.79</v>
      </c>
      <c r="R103" s="71">
        <v>24.85</v>
      </c>
      <c r="S103" s="58">
        <v>24.15</v>
      </c>
      <c r="T103" s="58">
        <v>20.7</v>
      </c>
    </row>
    <row r="104" spans="1:20">
      <c r="A104" s="4">
        <v>90</v>
      </c>
      <c r="B104" s="6" t="s">
        <v>93</v>
      </c>
      <c r="G104" s="51" t="s">
        <v>52</v>
      </c>
      <c r="H104" s="51" t="s">
        <v>52</v>
      </c>
      <c r="I104" s="53">
        <v>48.01</v>
      </c>
      <c r="J104" s="53">
        <v>42.69</v>
      </c>
      <c r="K104" s="46">
        <v>33.15</v>
      </c>
      <c r="L104" s="46">
        <v>34.979999999999997</v>
      </c>
      <c r="M104" s="46">
        <v>29.52</v>
      </c>
      <c r="N104" s="46">
        <v>25.95</v>
      </c>
      <c r="O104" s="46">
        <v>28.96</v>
      </c>
      <c r="P104" s="46">
        <v>33</v>
      </c>
      <c r="Q104" s="57">
        <v>27</v>
      </c>
      <c r="R104" s="57">
        <v>29.09</v>
      </c>
      <c r="S104" s="58">
        <v>26.86</v>
      </c>
      <c r="T104" s="58">
        <v>24.2</v>
      </c>
    </row>
    <row r="105" spans="1:20">
      <c r="A105" s="4">
        <v>91</v>
      </c>
      <c r="B105" s="6" t="s">
        <v>94</v>
      </c>
      <c r="G105" s="51" t="s">
        <v>52</v>
      </c>
      <c r="H105" s="51" t="s">
        <v>52</v>
      </c>
      <c r="I105" s="53">
        <v>44.19</v>
      </c>
      <c r="J105" s="53">
        <v>35.11</v>
      </c>
      <c r="K105" s="46">
        <v>30.6</v>
      </c>
      <c r="L105" s="46">
        <v>31.51</v>
      </c>
      <c r="M105" s="46">
        <v>26.52</v>
      </c>
      <c r="N105" s="46">
        <v>20.2</v>
      </c>
      <c r="O105" s="46">
        <v>25.09</v>
      </c>
      <c r="P105" s="46">
        <v>30.63</v>
      </c>
      <c r="Q105" s="57">
        <v>26.1</v>
      </c>
      <c r="R105" s="57">
        <v>26.19</v>
      </c>
      <c r="S105" s="58">
        <v>24.32</v>
      </c>
      <c r="T105" s="58">
        <v>20.95</v>
      </c>
    </row>
    <row r="106" spans="1:20">
      <c r="A106" s="4">
        <v>92</v>
      </c>
      <c r="B106" s="6" t="s">
        <v>95</v>
      </c>
      <c r="G106" s="51" t="s">
        <v>52</v>
      </c>
      <c r="H106" s="51" t="s">
        <v>52</v>
      </c>
      <c r="I106" s="53">
        <v>53.4</v>
      </c>
      <c r="J106" s="53">
        <v>44.87</v>
      </c>
      <c r="K106" s="46">
        <v>35.07</v>
      </c>
      <c r="L106" s="46">
        <v>34.94</v>
      </c>
      <c r="M106" s="46">
        <v>29.98</v>
      </c>
      <c r="N106" s="46">
        <v>26.37</v>
      </c>
      <c r="O106" s="46">
        <v>28.54</v>
      </c>
      <c r="P106" s="46">
        <v>33.11</v>
      </c>
      <c r="Q106" s="57">
        <v>27.91</v>
      </c>
      <c r="R106" s="57">
        <v>28.87</v>
      </c>
      <c r="S106" s="58">
        <v>26.05</v>
      </c>
      <c r="T106" s="58">
        <v>25.45</v>
      </c>
    </row>
    <row r="107" spans="1:20">
      <c r="A107" s="4">
        <v>93</v>
      </c>
      <c r="B107" s="6" t="s">
        <v>96</v>
      </c>
      <c r="G107" s="51" t="s">
        <v>52</v>
      </c>
      <c r="H107" s="51" t="s">
        <v>52</v>
      </c>
      <c r="I107" s="53">
        <v>46.94</v>
      </c>
      <c r="J107" s="53">
        <v>38.590000000000003</v>
      </c>
      <c r="K107" s="46">
        <v>30.91</v>
      </c>
      <c r="L107" s="46">
        <v>31.34</v>
      </c>
      <c r="M107" s="46">
        <v>26.41</v>
      </c>
      <c r="N107" s="46">
        <v>22.81</v>
      </c>
      <c r="O107" s="46">
        <v>25.81</v>
      </c>
      <c r="P107" s="46">
        <v>29.38</v>
      </c>
      <c r="Q107" s="57">
        <v>26</v>
      </c>
      <c r="R107" s="57">
        <v>25.94</v>
      </c>
      <c r="S107" s="58">
        <v>23.68</v>
      </c>
      <c r="T107" s="58">
        <v>21.43</v>
      </c>
    </row>
    <row r="108" spans="1:20">
      <c r="A108" s="4">
        <v>94</v>
      </c>
      <c r="B108" s="6" t="s">
        <v>97</v>
      </c>
      <c r="G108" s="51" t="s">
        <v>52</v>
      </c>
      <c r="H108" s="51" t="s">
        <v>52</v>
      </c>
      <c r="I108" s="53">
        <v>52.68</v>
      </c>
      <c r="J108" s="53">
        <v>45.19</v>
      </c>
      <c r="K108" s="46">
        <v>36.94</v>
      </c>
      <c r="L108" s="46">
        <v>34.32</v>
      </c>
      <c r="M108" s="46">
        <v>29.81</v>
      </c>
      <c r="N108" s="46">
        <v>28.8</v>
      </c>
      <c r="O108" s="46">
        <v>28.25</v>
      </c>
      <c r="P108" s="46">
        <v>30.66</v>
      </c>
      <c r="Q108" s="57">
        <v>29.11</v>
      </c>
      <c r="R108" s="57">
        <v>29.76</v>
      </c>
      <c r="S108" s="58">
        <v>25.86</v>
      </c>
      <c r="T108" s="58">
        <v>25.07</v>
      </c>
    </row>
    <row r="109" spans="1:20">
      <c r="A109" s="4">
        <v>95</v>
      </c>
      <c r="B109" s="6" t="s">
        <v>98</v>
      </c>
      <c r="G109" s="51" t="s">
        <v>52</v>
      </c>
      <c r="H109" s="51" t="s">
        <v>52</v>
      </c>
      <c r="I109" s="53">
        <v>47.01</v>
      </c>
      <c r="J109" s="53">
        <v>39.4</v>
      </c>
      <c r="K109" s="46">
        <v>34.94</v>
      </c>
      <c r="L109" s="46">
        <v>28.87</v>
      </c>
      <c r="M109" s="46">
        <v>26.82</v>
      </c>
      <c r="N109" s="46">
        <v>24.65</v>
      </c>
      <c r="O109" s="46">
        <v>25.49</v>
      </c>
      <c r="P109" s="46">
        <v>26.47</v>
      </c>
      <c r="Q109" s="57">
        <v>27.96</v>
      </c>
      <c r="R109" s="57">
        <v>28.23</v>
      </c>
      <c r="S109" s="58">
        <v>24.61</v>
      </c>
      <c r="T109" s="58">
        <v>23.2</v>
      </c>
    </row>
    <row r="110" spans="1:20">
      <c r="A110" s="4">
        <v>96</v>
      </c>
      <c r="B110" s="6" t="s">
        <v>99</v>
      </c>
      <c r="G110" s="51" t="s">
        <v>52</v>
      </c>
      <c r="H110" s="51" t="s">
        <v>52</v>
      </c>
      <c r="I110" s="53">
        <v>31.62</v>
      </c>
      <c r="J110" s="53">
        <v>28.14</v>
      </c>
      <c r="K110" s="46">
        <v>25.876837186855614</v>
      </c>
      <c r="L110" s="46">
        <v>24.879991616290869</v>
      </c>
      <c r="M110" s="46">
        <v>23.569582999718683</v>
      </c>
      <c r="N110" s="46">
        <v>23.758578912901115</v>
      </c>
      <c r="O110" s="46">
        <v>22.820426724185854</v>
      </c>
      <c r="P110" s="46">
        <v>22.469355096815491</v>
      </c>
      <c r="Q110" s="57">
        <v>20.303524570978034</v>
      </c>
      <c r="R110" s="46">
        <v>19.899999999999999</v>
      </c>
      <c r="S110" s="47">
        <v>18.05</v>
      </c>
      <c r="T110" s="47">
        <v>16.66</v>
      </c>
    </row>
    <row r="111" spans="1:20">
      <c r="A111" s="4">
        <v>97</v>
      </c>
      <c r="G111" s="51"/>
      <c r="H111" s="51"/>
      <c r="I111" s="51"/>
      <c r="J111" s="51"/>
      <c r="K111" s="32"/>
      <c r="L111" s="32"/>
      <c r="M111" s="32"/>
      <c r="N111" s="32"/>
      <c r="O111" s="20"/>
      <c r="P111" s="20"/>
      <c r="Q111" s="20"/>
      <c r="R111" s="20"/>
      <c r="S111" s="21"/>
      <c r="T111" s="21"/>
    </row>
    <row r="112" spans="1:20">
      <c r="A112" s="4">
        <v>98</v>
      </c>
      <c r="B112" s="1" t="s">
        <v>100</v>
      </c>
      <c r="G112" s="19"/>
      <c r="H112" s="19"/>
      <c r="I112" s="45"/>
      <c r="J112" s="45"/>
      <c r="K112" s="46"/>
      <c r="L112" s="20"/>
      <c r="M112" s="20"/>
      <c r="N112" s="20"/>
      <c r="O112" s="20"/>
      <c r="P112" s="20"/>
      <c r="Q112" s="20"/>
      <c r="R112" s="20"/>
      <c r="S112" s="21"/>
      <c r="T112" s="21"/>
    </row>
    <row r="113" spans="1:20">
      <c r="A113" s="4">
        <v>99</v>
      </c>
      <c r="G113" s="19"/>
      <c r="H113" s="19"/>
      <c r="I113" s="19"/>
      <c r="J113" s="19"/>
      <c r="K113" s="20"/>
      <c r="L113" s="20"/>
      <c r="M113" s="20"/>
      <c r="N113" s="20"/>
      <c r="O113" s="20"/>
      <c r="P113" s="20"/>
      <c r="Q113" s="20"/>
      <c r="R113" s="20"/>
      <c r="S113" s="21"/>
      <c r="T113" s="21"/>
    </row>
    <row r="114" spans="1:20">
      <c r="A114" s="4">
        <v>100</v>
      </c>
      <c r="B114" s="14" t="s">
        <v>101</v>
      </c>
      <c r="C114" s="15"/>
      <c r="D114" s="15"/>
      <c r="E114" s="15"/>
      <c r="G114" s="19"/>
      <c r="H114" s="19"/>
      <c r="I114" s="19"/>
      <c r="J114" s="19"/>
      <c r="K114" s="20"/>
      <c r="L114" s="20"/>
      <c r="M114" s="20"/>
      <c r="N114" s="20"/>
      <c r="O114" s="21"/>
      <c r="P114" s="21"/>
      <c r="Q114" s="21"/>
      <c r="R114" s="21"/>
      <c r="S114" s="21"/>
      <c r="T114" s="21"/>
    </row>
    <row r="115" spans="1:20">
      <c r="A115" s="4">
        <v>101</v>
      </c>
      <c r="B115" s="6" t="s">
        <v>102</v>
      </c>
      <c r="G115" s="59" t="s">
        <v>52</v>
      </c>
      <c r="H115" s="59" t="s">
        <v>52</v>
      </c>
      <c r="I115" s="59">
        <v>0.10199999999999999</v>
      </c>
      <c r="J115" s="59">
        <v>9.8000000000000004E-2</v>
      </c>
      <c r="K115" s="60">
        <v>8.3297938918196424E-2</v>
      </c>
      <c r="L115" s="60">
        <v>8.5520016942695926E-2</v>
      </c>
      <c r="M115" s="60">
        <v>8.7185418321332489E-2</v>
      </c>
      <c r="N115" s="60">
        <v>8.6681501437724351E-2</v>
      </c>
      <c r="O115" s="60">
        <v>8.7999999999999995E-2</v>
      </c>
      <c r="P115" s="60">
        <v>8.7999999999999995E-2</v>
      </c>
      <c r="Q115" s="60">
        <v>8.8999999999999996E-2</v>
      </c>
      <c r="R115" s="61">
        <v>0.09</v>
      </c>
      <c r="S115" s="61">
        <v>9.0999999999999998E-2</v>
      </c>
      <c r="T115" s="61">
        <v>9.9000000000000005E-2</v>
      </c>
    </row>
    <row r="116" spans="1:20">
      <c r="A116" s="4">
        <v>102</v>
      </c>
      <c r="B116" s="6" t="s">
        <v>103</v>
      </c>
      <c r="G116" s="62" t="e">
        <f>(G58)/G48</f>
        <v>#REF!</v>
      </c>
      <c r="H116" s="62" t="e">
        <f>(H58)/H48</f>
        <v>#REF!</v>
      </c>
      <c r="I116" s="62">
        <v>5.1999999999999998E-2</v>
      </c>
      <c r="J116" s="62">
        <v>4.8000000000000001E-2</v>
      </c>
      <c r="K116" s="60">
        <v>4.0231888705646007E-2</v>
      </c>
      <c r="L116" s="60">
        <v>4.3176826787451009E-2</v>
      </c>
      <c r="M116" s="60">
        <v>4.4499578680161404E-2</v>
      </c>
      <c r="N116" s="60">
        <v>4.2668457525681526E-2</v>
      </c>
      <c r="O116" s="60">
        <v>4.2999999999999997E-2</v>
      </c>
      <c r="P116" s="60">
        <v>4.2999999999999997E-2</v>
      </c>
      <c r="Q116" s="60">
        <v>3.9E-2</v>
      </c>
      <c r="R116" s="61">
        <v>3.933224430652113E-2</v>
      </c>
      <c r="S116" s="61">
        <v>4.7679113654085642E-2</v>
      </c>
      <c r="T116" s="61">
        <v>4.6502226642439075E-2</v>
      </c>
    </row>
    <row r="117" spans="1:20">
      <c r="A117" s="4">
        <v>103</v>
      </c>
      <c r="B117" s="6" t="s">
        <v>104</v>
      </c>
      <c r="G117" s="62" t="e">
        <f>G58/G27</f>
        <v>#REF!</v>
      </c>
      <c r="H117" s="62" t="e">
        <f>H58/H27</f>
        <v>#REF!</v>
      </c>
      <c r="I117" s="62">
        <v>4.4999999999999998E-2</v>
      </c>
      <c r="J117" s="62">
        <v>4.2999999999999997E-2</v>
      </c>
      <c r="K117" s="60">
        <v>3.618310387082551E-2</v>
      </c>
      <c r="L117" s="60">
        <v>3.8142668443685655E-2</v>
      </c>
      <c r="M117" s="60">
        <v>4.1128106498813176E-2</v>
      </c>
      <c r="N117" s="60">
        <v>4.2747157694961804E-2</v>
      </c>
      <c r="O117" s="60">
        <v>4.4999999999999998E-2</v>
      </c>
      <c r="P117" s="60">
        <v>4.4999999999999998E-2</v>
      </c>
      <c r="Q117" s="60">
        <v>4.2000000000000003E-2</v>
      </c>
      <c r="R117" s="61">
        <v>4.5637607983685879E-2</v>
      </c>
      <c r="S117" s="61">
        <v>5.2378012933925598E-2</v>
      </c>
      <c r="T117" s="61">
        <v>4.8199750610262576E-2</v>
      </c>
    </row>
    <row r="118" spans="1:20">
      <c r="A118" s="4">
        <v>104</v>
      </c>
      <c r="G118" s="19"/>
      <c r="H118" s="19"/>
      <c r="I118" s="19"/>
      <c r="J118" s="19"/>
      <c r="K118" s="20"/>
      <c r="L118" s="20"/>
      <c r="M118" s="20"/>
      <c r="N118" s="20"/>
      <c r="O118" s="20"/>
      <c r="P118" s="20"/>
      <c r="Q118" s="20"/>
      <c r="R118" s="21"/>
      <c r="S118" s="21"/>
      <c r="T118" s="21"/>
    </row>
    <row r="119" spans="1:20">
      <c r="A119" s="4">
        <v>105</v>
      </c>
      <c r="B119" s="14" t="s">
        <v>105</v>
      </c>
      <c r="C119" s="15"/>
      <c r="D119" s="15"/>
      <c r="E119" s="15"/>
      <c r="G119" s="19"/>
      <c r="H119" s="19"/>
      <c r="I119" s="19"/>
      <c r="J119" s="19"/>
      <c r="K119" s="20"/>
      <c r="L119" s="20"/>
      <c r="M119" s="20"/>
      <c r="N119" s="20"/>
      <c r="O119" s="20"/>
      <c r="P119" s="20"/>
      <c r="Q119" s="20"/>
      <c r="R119" s="21"/>
      <c r="S119" s="21"/>
      <c r="T119" s="21"/>
    </row>
    <row r="120" spans="1:20">
      <c r="A120" s="4">
        <v>106</v>
      </c>
      <c r="B120" s="6" t="s">
        <v>106</v>
      </c>
      <c r="D120" s="6" t="s">
        <v>107</v>
      </c>
      <c r="G120" s="19"/>
      <c r="H120" s="19"/>
      <c r="I120" s="19"/>
      <c r="J120" s="19"/>
      <c r="K120" s="20"/>
      <c r="L120" s="20"/>
      <c r="M120" s="20"/>
      <c r="N120" s="20"/>
      <c r="O120" s="21"/>
      <c r="P120" s="21"/>
      <c r="Q120" s="21"/>
      <c r="R120" s="21"/>
      <c r="S120" s="21"/>
      <c r="T120" s="21"/>
    </row>
    <row r="121" spans="1:20">
      <c r="A121" s="4">
        <v>107</v>
      </c>
      <c r="B121" s="6" t="s">
        <v>108</v>
      </c>
      <c r="G121" s="19" t="e">
        <f>+#REF!/1000</f>
        <v>#REF!</v>
      </c>
      <c r="H121" s="19" t="e">
        <f>+#REF!/1000</f>
        <v>#REF!</v>
      </c>
      <c r="I121" s="19">
        <f>ROUND((11728915/1000),0)</f>
        <v>11729</v>
      </c>
      <c r="J121" s="19">
        <f>ROUND((10695101/1000),0)</f>
        <v>10695</v>
      </c>
      <c r="K121" s="20">
        <f>ROUND((8433486/1000),0)</f>
        <v>8433</v>
      </c>
      <c r="L121" s="20">
        <f>ROUND((10186607/1000),0)</f>
        <v>10187</v>
      </c>
      <c r="M121" s="20">
        <f>ROUND((10734768/1000),0)</f>
        <v>10735</v>
      </c>
      <c r="N121" s="20">
        <f>ROUND((10260714/1000),0)</f>
        <v>10261</v>
      </c>
      <c r="O121" s="20">
        <v>10854.609817299999</v>
      </c>
      <c r="P121" s="20">
        <v>10384.574465399999</v>
      </c>
      <c r="Q121" s="20">
        <v>9751.4825102999985</v>
      </c>
      <c r="R121" s="21">
        <v>11112</v>
      </c>
      <c r="S121" s="21">
        <v>10904</v>
      </c>
      <c r="T121" s="21">
        <v>11868</v>
      </c>
    </row>
    <row r="122" spans="1:20">
      <c r="A122" s="4">
        <v>108</v>
      </c>
      <c r="B122" s="6" t="s">
        <v>109</v>
      </c>
      <c r="G122" s="19" t="e">
        <f>+#REF!/1000</f>
        <v>#REF!</v>
      </c>
      <c r="H122" s="19" t="e">
        <f>+#REF!/1000</f>
        <v>#REF!</v>
      </c>
      <c r="I122" s="19">
        <f>ROUND((5649913/1000),0)</f>
        <v>5650</v>
      </c>
      <c r="J122" s="19">
        <f>ROUND((5142593/1000),0)</f>
        <v>5143</v>
      </c>
      <c r="K122" s="20">
        <f>ROUND((3972339/1000),0)</f>
        <v>3972</v>
      </c>
      <c r="L122" s="20">
        <f>ROUND((4642085/1000),0)</f>
        <v>4642</v>
      </c>
      <c r="M122" s="20">
        <f>ROUND((5049061/1000),0)</f>
        <v>5049</v>
      </c>
      <c r="N122" s="20">
        <f>ROUND((4658805/1000),0)</f>
        <v>4659</v>
      </c>
      <c r="O122" s="20">
        <v>5017.1545153999996</v>
      </c>
      <c r="P122" s="20">
        <v>4793.0605848999994</v>
      </c>
      <c r="Q122" s="20">
        <v>4642.0205508999979</v>
      </c>
      <c r="R122" s="21">
        <v>5362</v>
      </c>
      <c r="S122" s="21">
        <v>4894</v>
      </c>
      <c r="T122" s="21">
        <v>5127</v>
      </c>
    </row>
    <row r="123" spans="1:20">
      <c r="A123" s="4">
        <v>109</v>
      </c>
      <c r="B123" s="6" t="s">
        <v>110</v>
      </c>
      <c r="G123" s="19" t="e">
        <f>+#REF!/1000</f>
        <v>#REF!</v>
      </c>
      <c r="H123" s="19" t="e">
        <f>+#REF!/1000</f>
        <v>#REF!</v>
      </c>
      <c r="I123" s="19">
        <f>ROUND((810265/1000),0)</f>
        <v>810</v>
      </c>
      <c r="J123" s="19">
        <f>ROUND((810979/1000),0)</f>
        <v>811</v>
      </c>
      <c r="K123" s="20">
        <f>ROUND((995095/1000),0)</f>
        <v>995</v>
      </c>
      <c r="L123" s="20">
        <f>ROUND((821135/1000),0)</f>
        <v>821</v>
      </c>
      <c r="M123" s="20">
        <f>ROUND((724157/1000),0)</f>
        <v>724</v>
      </c>
      <c r="N123" s="20">
        <f>ROUND((960090/1000),0)</f>
        <v>960</v>
      </c>
      <c r="O123" s="20">
        <v>1714.5599533</v>
      </c>
      <c r="P123" s="20">
        <v>1757.0290563999999</v>
      </c>
      <c r="Q123" s="20">
        <v>1327.230196</v>
      </c>
      <c r="R123" s="21">
        <v>2268</v>
      </c>
      <c r="S123" s="21">
        <v>1764</v>
      </c>
      <c r="T123" s="21">
        <v>2297</v>
      </c>
    </row>
    <row r="124" spans="1:20">
      <c r="A124" s="4">
        <v>110</v>
      </c>
      <c r="B124" s="6" t="s">
        <v>111</v>
      </c>
      <c r="G124" s="19" t="e">
        <f>+#REF!/1000</f>
        <v>#REF!</v>
      </c>
      <c r="H124" s="19" t="e">
        <f>+#REF!/1000</f>
        <v>#REF!</v>
      </c>
      <c r="I124" s="19">
        <f>ROUND((1233922/1000),0)</f>
        <v>1234</v>
      </c>
      <c r="J124" s="19">
        <f>ROUND((1179422/1000),0)</f>
        <v>1179</v>
      </c>
      <c r="K124" s="20">
        <f>ROUND((980278/1000),0)</f>
        <v>980</v>
      </c>
      <c r="L124" s="20">
        <f>ROUND((1110936/1000),0)</f>
        <v>1111</v>
      </c>
      <c r="M124" s="20">
        <f>ROUND((1191868/1000),0)</f>
        <v>1192</v>
      </c>
      <c r="N124" s="20">
        <f>ROUND((1176049/1000),0)</f>
        <v>1176</v>
      </c>
      <c r="O124" s="20">
        <v>1252.6995403999999</v>
      </c>
      <c r="P124" s="20">
        <v>1194.8405935000001</v>
      </c>
      <c r="Q124" s="20">
        <v>1261.0670940999998</v>
      </c>
      <c r="R124" s="21">
        <v>1479</v>
      </c>
      <c r="S124" s="21">
        <v>1462</v>
      </c>
      <c r="T124" s="21">
        <v>1484</v>
      </c>
    </row>
    <row r="125" spans="1:20">
      <c r="A125" s="4">
        <v>111</v>
      </c>
      <c r="B125" s="63" t="s">
        <v>112</v>
      </c>
      <c r="G125" s="64" t="e">
        <f>+#REF!/1000</f>
        <v>#REF!</v>
      </c>
      <c r="H125" s="64" t="e">
        <f>+#REF!/1000</f>
        <v>#REF!</v>
      </c>
      <c r="I125" s="64"/>
      <c r="J125" s="64"/>
      <c r="K125" s="65"/>
      <c r="L125" s="65"/>
      <c r="M125" s="65"/>
      <c r="N125" s="65"/>
      <c r="O125" s="66"/>
      <c r="P125" s="66"/>
      <c r="Q125" s="66"/>
      <c r="R125" s="66"/>
      <c r="S125" s="66"/>
      <c r="T125" s="66"/>
    </row>
    <row r="126" spans="1:20">
      <c r="A126" s="4">
        <v>112</v>
      </c>
      <c r="B126" s="6" t="s">
        <v>113</v>
      </c>
      <c r="G126" s="19" t="e">
        <f>SUM(G121:G125)</f>
        <v>#REF!</v>
      </c>
      <c r="H126" s="19" t="e">
        <f>SUM(H121:H125)</f>
        <v>#REF!</v>
      </c>
      <c r="I126" s="20">
        <f t="shared" ref="I126:M126" si="20">SUM(I121:I125)</f>
        <v>19423</v>
      </c>
      <c r="J126" s="20">
        <f t="shared" si="20"/>
        <v>17828</v>
      </c>
      <c r="K126" s="20">
        <f t="shared" si="20"/>
        <v>14380</v>
      </c>
      <c r="L126" s="20">
        <f t="shared" si="20"/>
        <v>16761</v>
      </c>
      <c r="M126" s="20">
        <f t="shared" si="20"/>
        <v>17700</v>
      </c>
      <c r="N126" s="20">
        <f>SUM(N121:N125)</f>
        <v>17056</v>
      </c>
      <c r="O126" s="21">
        <f t="shared" ref="O126:T126" si="21">O121+O122+O123+O124</f>
        <v>18839.0238264</v>
      </c>
      <c r="P126" s="21">
        <f t="shared" si="21"/>
        <v>18129.504700199999</v>
      </c>
      <c r="Q126" s="21">
        <f t="shared" si="21"/>
        <v>16981.800351299997</v>
      </c>
      <c r="R126" s="21">
        <f t="shared" si="21"/>
        <v>20221</v>
      </c>
      <c r="S126" s="21">
        <f t="shared" si="21"/>
        <v>19024</v>
      </c>
      <c r="T126" s="21">
        <f t="shared" si="21"/>
        <v>20776</v>
      </c>
    </row>
    <row r="127" spans="1:20">
      <c r="A127" s="4">
        <v>113</v>
      </c>
      <c r="G127" s="19"/>
      <c r="H127" s="19"/>
      <c r="I127" s="19"/>
      <c r="J127" s="19"/>
      <c r="K127" s="20"/>
      <c r="L127" s="20"/>
      <c r="M127" s="20"/>
      <c r="N127" s="20"/>
      <c r="O127" s="21"/>
      <c r="P127" s="21"/>
      <c r="Q127" s="21"/>
      <c r="R127" s="21"/>
      <c r="S127" s="21"/>
      <c r="T127" s="21"/>
    </row>
    <row r="128" spans="1:20">
      <c r="A128" s="4">
        <v>114</v>
      </c>
      <c r="B128" s="6" t="s">
        <v>114</v>
      </c>
      <c r="D128" s="6" t="s">
        <v>107</v>
      </c>
      <c r="G128" s="19"/>
      <c r="H128" s="19"/>
      <c r="I128" s="19"/>
      <c r="J128" s="19"/>
      <c r="K128" s="20"/>
      <c r="L128" s="20"/>
      <c r="M128" s="20"/>
      <c r="N128" s="20"/>
      <c r="O128" s="21"/>
      <c r="P128" s="21"/>
      <c r="Q128" s="21"/>
      <c r="R128" s="21"/>
      <c r="S128" s="21"/>
      <c r="T128" s="21"/>
    </row>
    <row r="129" spans="1:20">
      <c r="A129" s="4">
        <v>115</v>
      </c>
      <c r="B129" s="6"/>
      <c r="G129" s="19">
        <v>0</v>
      </c>
      <c r="H129" s="19">
        <v>0</v>
      </c>
      <c r="I129" s="19">
        <v>0</v>
      </c>
      <c r="J129" s="19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1">
        <v>0</v>
      </c>
      <c r="S129" s="21">
        <v>0</v>
      </c>
      <c r="T129" s="21">
        <v>0</v>
      </c>
    </row>
    <row r="130" spans="1:20">
      <c r="A130" s="4">
        <v>116</v>
      </c>
      <c r="B130" s="6" t="s">
        <v>115</v>
      </c>
      <c r="G130" s="19" t="e">
        <f t="shared" ref="G130:T130" si="22">G132-G129</f>
        <v>#REF!</v>
      </c>
      <c r="H130" s="19" t="e">
        <f>H132-H129</f>
        <v>#REF!</v>
      </c>
      <c r="I130" s="20">
        <f t="shared" ref="I130:J130" si="23">I132-I129</f>
        <v>21324</v>
      </c>
      <c r="J130" s="20">
        <f t="shared" si="23"/>
        <v>18367</v>
      </c>
      <c r="K130" s="20">
        <f>K132-K129</f>
        <v>17441</v>
      </c>
      <c r="L130" s="20">
        <f t="shared" ref="L130:N130" si="24">L132-L129</f>
        <v>16748</v>
      </c>
      <c r="M130" s="20">
        <f t="shared" si="24"/>
        <v>17596</v>
      </c>
      <c r="N130" s="20">
        <f t="shared" si="24"/>
        <v>17034</v>
      </c>
      <c r="O130" s="21">
        <f t="shared" si="22"/>
        <v>18789.664000000001</v>
      </c>
      <c r="P130" s="21">
        <f t="shared" si="22"/>
        <v>19493.048999999999</v>
      </c>
      <c r="Q130" s="21">
        <f t="shared" si="22"/>
        <v>19334.194</v>
      </c>
      <c r="R130" s="21">
        <f t="shared" si="22"/>
        <v>19589</v>
      </c>
      <c r="S130" s="21">
        <f t="shared" si="22"/>
        <v>19599</v>
      </c>
      <c r="T130" s="21">
        <f t="shared" si="22"/>
        <v>23593</v>
      </c>
    </row>
    <row r="131" spans="1:20">
      <c r="A131" s="4">
        <v>117</v>
      </c>
      <c r="G131" s="19"/>
      <c r="H131" s="19"/>
      <c r="I131" s="19"/>
      <c r="J131" s="19"/>
      <c r="K131" s="20"/>
      <c r="L131" s="20"/>
      <c r="M131" s="20"/>
      <c r="N131" s="20"/>
      <c r="O131" s="21"/>
      <c r="P131" s="21"/>
      <c r="Q131" s="21"/>
      <c r="R131" s="21"/>
      <c r="S131" s="21"/>
      <c r="T131" s="21"/>
    </row>
    <row r="132" spans="1:20">
      <c r="A132" s="4">
        <v>118</v>
      </c>
      <c r="B132" s="6" t="s">
        <v>116</v>
      </c>
      <c r="G132" s="80" t="e">
        <f>+G126+(0.019*G126)</f>
        <v>#REF!</v>
      </c>
      <c r="H132" s="80" t="e">
        <f>+H126+(0.019*H126)</f>
        <v>#REF!</v>
      </c>
      <c r="I132" s="20">
        <v>21324</v>
      </c>
      <c r="J132" s="20">
        <v>18367</v>
      </c>
      <c r="K132" s="20">
        <v>17441</v>
      </c>
      <c r="L132" s="20">
        <v>16748</v>
      </c>
      <c r="M132" s="20">
        <v>17596</v>
      </c>
      <c r="N132" s="20">
        <v>17034</v>
      </c>
      <c r="O132" s="20">
        <v>18789.664000000001</v>
      </c>
      <c r="P132" s="20">
        <v>19493.048999999999</v>
      </c>
      <c r="Q132" s="67">
        <v>19334.194</v>
      </c>
      <c r="R132" s="21">
        <v>19589</v>
      </c>
      <c r="S132" s="21">
        <v>19599</v>
      </c>
      <c r="T132" s="21">
        <v>23593</v>
      </c>
    </row>
    <row r="133" spans="1:20">
      <c r="A133" s="4">
        <v>119</v>
      </c>
      <c r="G133" s="19"/>
      <c r="H133" s="19"/>
      <c r="I133" s="19"/>
      <c r="J133" s="19"/>
      <c r="K133" s="20"/>
      <c r="L133" s="20"/>
      <c r="M133" s="20"/>
      <c r="N133" s="20"/>
      <c r="O133" s="21"/>
      <c r="P133" s="21"/>
      <c r="Q133" s="21"/>
      <c r="R133" s="21"/>
      <c r="S133" s="21"/>
      <c r="T133" s="21"/>
    </row>
    <row r="134" spans="1:20">
      <c r="A134" s="4">
        <v>120</v>
      </c>
      <c r="B134" s="6" t="s">
        <v>117</v>
      </c>
      <c r="G134" s="44">
        <v>3.3535862115583452E-2</v>
      </c>
      <c r="H134" s="44">
        <v>3.4232561323580706E-2</v>
      </c>
      <c r="I134" s="44">
        <v>3.5000000000000003E-2</v>
      </c>
      <c r="J134" s="44">
        <v>3.3099999999999997E-2</v>
      </c>
      <c r="K134" s="41">
        <v>3.49E-2</v>
      </c>
      <c r="L134" s="41">
        <v>3.5799999999999998E-2</v>
      </c>
      <c r="M134" s="41">
        <v>3.4000000000000002E-2</v>
      </c>
      <c r="N134" s="41">
        <v>3.4299999999999997E-2</v>
      </c>
      <c r="O134" s="41">
        <v>3.1732611870051476E-2</v>
      </c>
      <c r="P134" s="41">
        <v>3.4804141665331238E-2</v>
      </c>
      <c r="Q134" s="41">
        <v>3.69678612587429E-2</v>
      </c>
      <c r="R134" s="42">
        <v>3.7400000000000003E-2</v>
      </c>
      <c r="S134" s="42">
        <v>3.6700000000000003E-2</v>
      </c>
      <c r="T134" s="42">
        <v>3.5099999999999999E-2</v>
      </c>
    </row>
    <row r="135" spans="1:20">
      <c r="A135" s="6"/>
      <c r="B135" s="6"/>
      <c r="G135" s="44"/>
      <c r="H135" s="44"/>
      <c r="I135" s="44"/>
      <c r="J135" s="44"/>
      <c r="K135" s="44"/>
      <c r="L135" s="44"/>
      <c r="M135" s="44"/>
      <c r="N135" s="44"/>
      <c r="O135" s="50"/>
      <c r="P135" s="50"/>
      <c r="Q135" s="50"/>
      <c r="R135" s="50"/>
      <c r="S135" s="50"/>
      <c r="T135" s="50"/>
    </row>
    <row r="136" spans="1:20">
      <c r="B136" s="1" t="s">
        <v>118</v>
      </c>
      <c r="G136" s="5"/>
      <c r="H136" s="5"/>
      <c r="K136" s="5"/>
      <c r="L136" s="5"/>
      <c r="M136" s="5"/>
      <c r="N136" s="5"/>
    </row>
    <row r="137" spans="1:20">
      <c r="B137" s="6" t="s">
        <v>119</v>
      </c>
      <c r="G137" s="5"/>
      <c r="H137" s="5"/>
      <c r="K137" s="5"/>
      <c r="L137" s="5"/>
      <c r="M137" s="5"/>
      <c r="N137" s="5"/>
    </row>
    <row r="138" spans="1:20">
      <c r="B138" s="16"/>
    </row>
  </sheetData>
  <mergeCells count="7">
    <mergeCell ref="K12:T12"/>
    <mergeCell ref="A1:T1"/>
    <mergeCell ref="A2:T2"/>
    <mergeCell ref="A3:T3"/>
    <mergeCell ref="A4:T4"/>
    <mergeCell ref="A5:T5"/>
    <mergeCell ref="A6:T6"/>
  </mergeCells>
  <printOptions horizontalCentered="1"/>
  <pageMargins left="0.75" right="0.75" top="0.75" bottom="1" header="0.5" footer="0.5"/>
  <pageSetup scale="49" fitToHeight="0" orientation="landscape" r:id="rId1"/>
  <headerFooter alignWithMargins="0">
    <oddHeader xml:space="preserve">&amp;RCASE NO. 2015-00343
ATTACHMENT 23
TO STAFF DR NO. 1-59
</oddHeader>
    <oddFooter>&amp;RSchedule &amp;A
Page &amp;P of &amp;N</oddFooter>
  </headerFooter>
  <rowBreaks count="2" manualBreakCount="2">
    <brk id="49" max="17" man="1"/>
    <brk id="9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 </vt:lpstr>
      <vt:lpstr>'K '!Print_Area</vt:lpstr>
      <vt:lpstr>'K '!Print_Titles</vt:lpstr>
    </vt:vector>
  </TitlesOfParts>
  <Company>Atmos Energy Corportion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 Jackson</dc:creator>
  <cp:lastModifiedBy>Eric  Wilen</cp:lastModifiedBy>
  <cp:lastPrinted>2015-12-03T15:03:10Z</cp:lastPrinted>
  <dcterms:created xsi:type="dcterms:W3CDTF">2015-09-01T20:10:00Z</dcterms:created>
  <dcterms:modified xsi:type="dcterms:W3CDTF">2015-12-03T15:03:32Z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