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1760"/>
  </bookViews>
  <sheets>
    <sheet name="Q47(a) 1&amp;2 - C010" sheetId="4" r:id="rId1"/>
    <sheet name="Q47(a) 1&amp;2 - DIV009" sheetId="1" r:id="rId2"/>
    <sheet name="Q47(a) 1&amp;2 - DIV091" sheetId="2" r:id="rId3"/>
    <sheet name="Q47(a) 3 - 4091" sheetId="3" r:id="rId4"/>
  </sheets>
  <definedNames>
    <definedName name="_xlnm._FilterDatabase" localSheetId="0" hidden="1">'Q47(a) 1&amp;2 - C010'!$A$9:$S$85</definedName>
    <definedName name="_xlnm._FilterDatabase" localSheetId="2" hidden="1">'Q47(a) 1&amp;2 - DIV091'!$A$9:$J$52</definedName>
    <definedName name="_xlnm.Print_Titles" localSheetId="0">'Q47(a) 1&amp;2 - C010'!$1:$9</definedName>
  </definedNames>
  <calcPr calcId="145621"/>
</workbook>
</file>

<file path=xl/calcChain.xml><?xml version="1.0" encoding="utf-8"?>
<calcChain xmlns="http://schemas.openxmlformats.org/spreadsheetml/2006/main">
  <c r="D16" i="3" l="1"/>
  <c r="E16" i="3"/>
  <c r="F16" i="3"/>
  <c r="G16" i="3"/>
  <c r="H16" i="3"/>
  <c r="I16" i="3"/>
  <c r="J16" i="3"/>
  <c r="K16" i="3"/>
  <c r="L16" i="3"/>
  <c r="M16" i="3"/>
  <c r="N16" i="3"/>
  <c r="O14" i="3"/>
  <c r="O11" i="3"/>
  <c r="M85" i="4" l="1"/>
  <c r="M100" i="4"/>
  <c r="M67" i="4"/>
  <c r="R67" i="4"/>
  <c r="N65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E80" i="2"/>
  <c r="Q58" i="2"/>
  <c r="R58" i="2"/>
  <c r="P58" i="2"/>
  <c r="G58" i="2"/>
  <c r="H58" i="2"/>
  <c r="K58" i="2"/>
  <c r="L58" i="2"/>
  <c r="M58" i="2"/>
  <c r="N58" i="2"/>
  <c r="O58" i="2"/>
  <c r="E58" i="2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E54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E39" i="1"/>
  <c r="R45" i="1"/>
  <c r="R44" i="1"/>
  <c r="R43" i="1"/>
  <c r="R32" i="1"/>
  <c r="F67" i="4"/>
  <c r="F85" i="4"/>
  <c r="F32" i="1"/>
  <c r="G32" i="1"/>
  <c r="H32" i="1"/>
  <c r="I32" i="1"/>
  <c r="J32" i="1"/>
  <c r="K32" i="1"/>
  <c r="L32" i="1"/>
  <c r="M32" i="1"/>
  <c r="N32" i="1"/>
  <c r="O32" i="1"/>
  <c r="P32" i="1"/>
  <c r="Q32" i="1"/>
  <c r="E32" i="1"/>
  <c r="N100" i="4"/>
  <c r="N85" i="4"/>
  <c r="N67" i="4"/>
  <c r="N51" i="4"/>
  <c r="R46" i="1" l="1"/>
  <c r="R56" i="1" s="1"/>
  <c r="K65" i="2" l="1"/>
  <c r="L65" i="2"/>
  <c r="M65" i="2"/>
  <c r="O65" i="2"/>
  <c r="P65" i="2"/>
  <c r="Q65" i="2"/>
  <c r="R65" i="2"/>
  <c r="K52" i="2"/>
  <c r="L52" i="2"/>
  <c r="M52" i="2"/>
  <c r="N52" i="2"/>
  <c r="N67" i="2" s="1"/>
  <c r="O52" i="2"/>
  <c r="P52" i="2"/>
  <c r="Q52" i="2"/>
  <c r="R52" i="2"/>
  <c r="K26" i="1"/>
  <c r="L26" i="1"/>
  <c r="M26" i="1"/>
  <c r="N26" i="1"/>
  <c r="O26" i="1"/>
  <c r="P26" i="1"/>
  <c r="P41" i="1" s="1"/>
  <c r="Q26" i="1"/>
  <c r="R26" i="1"/>
  <c r="R41" i="1" s="1"/>
  <c r="L100" i="4"/>
  <c r="O100" i="4"/>
  <c r="P100" i="4"/>
  <c r="Q100" i="4"/>
  <c r="R100" i="4"/>
  <c r="S100" i="4"/>
  <c r="L85" i="4"/>
  <c r="O85" i="4"/>
  <c r="P85" i="4"/>
  <c r="Q85" i="4"/>
  <c r="R85" i="4"/>
  <c r="S85" i="4"/>
  <c r="L67" i="4"/>
  <c r="O67" i="4"/>
  <c r="P67" i="4"/>
  <c r="Q67" i="4"/>
  <c r="S67" i="4"/>
  <c r="L51" i="4"/>
  <c r="M51" i="4"/>
  <c r="M87" i="4" s="1"/>
  <c r="O51" i="4"/>
  <c r="P51" i="4"/>
  <c r="Q51" i="4"/>
  <c r="R51" i="4"/>
  <c r="S51" i="4"/>
  <c r="R87" i="4" l="1"/>
  <c r="P67" i="2"/>
  <c r="K67" i="2"/>
  <c r="Q67" i="2"/>
  <c r="M67" i="2"/>
  <c r="R67" i="2"/>
  <c r="O67" i="2"/>
  <c r="L67" i="2"/>
  <c r="L41" i="1"/>
  <c r="O41" i="1"/>
  <c r="Q41" i="1"/>
  <c r="M41" i="1"/>
  <c r="K41" i="1"/>
  <c r="N41" i="1"/>
  <c r="S87" i="4"/>
  <c r="O87" i="4"/>
  <c r="Q87" i="4"/>
  <c r="P87" i="4"/>
  <c r="L87" i="4"/>
  <c r="N87" i="4"/>
  <c r="J55" i="2"/>
  <c r="J58" i="2" s="1"/>
  <c r="F55" i="2"/>
  <c r="F58" i="2" s="1"/>
  <c r="I55" i="2"/>
  <c r="I58" i="2" s="1"/>
  <c r="K73" i="4"/>
  <c r="K82" i="4"/>
  <c r="K84" i="4"/>
  <c r="J81" i="4"/>
  <c r="J83" i="4"/>
  <c r="I83" i="4"/>
  <c r="I73" i="4"/>
  <c r="G72" i="4"/>
  <c r="G80" i="4"/>
  <c r="J25" i="2"/>
  <c r="J24" i="2"/>
  <c r="J43" i="2"/>
  <c r="J44" i="2"/>
  <c r="J48" i="2"/>
  <c r="J49" i="2"/>
  <c r="K57" i="4"/>
  <c r="J57" i="4"/>
  <c r="I35" i="2"/>
  <c r="J36" i="2" s="1"/>
  <c r="J35" i="2" l="1"/>
  <c r="J30" i="2"/>
  <c r="J31" i="2"/>
  <c r="F30" i="2"/>
  <c r="G31" i="2"/>
  <c r="F31" i="2"/>
  <c r="F33" i="2"/>
  <c r="G33" i="2" s="1"/>
  <c r="H33" i="2" s="1"/>
  <c r="J33" i="2"/>
  <c r="J34" i="2"/>
  <c r="H34" i="2"/>
  <c r="G34" i="2"/>
  <c r="F34" i="2"/>
  <c r="F43" i="2"/>
  <c r="G43" i="2" s="1"/>
  <c r="H43" i="2" s="1"/>
  <c r="H44" i="2"/>
  <c r="G44" i="2"/>
  <c r="F44" i="2"/>
  <c r="F48" i="2"/>
  <c r="G48" i="2" s="1"/>
  <c r="H48" i="2" s="1"/>
  <c r="H49" i="2"/>
  <c r="G49" i="2"/>
  <c r="F49" i="2"/>
  <c r="F46" i="2"/>
  <c r="G46" i="2" s="1"/>
  <c r="H46" i="2" s="1"/>
  <c r="H47" i="2"/>
  <c r="G47" i="2"/>
  <c r="F47" i="2"/>
  <c r="K47" i="4"/>
  <c r="K48" i="4"/>
  <c r="K22" i="4"/>
  <c r="K23" i="4"/>
  <c r="I23" i="4"/>
  <c r="H23" i="4"/>
  <c r="K45" i="4"/>
  <c r="K46" i="4"/>
  <c r="I46" i="4"/>
  <c r="H46" i="4"/>
  <c r="I48" i="4"/>
  <c r="H48" i="4"/>
  <c r="K71" i="4"/>
  <c r="K70" i="4"/>
  <c r="K72" i="4"/>
  <c r="H73" i="4"/>
  <c r="I72" i="4"/>
  <c r="H72" i="4"/>
  <c r="K26" i="4"/>
  <c r="K27" i="4"/>
  <c r="G26" i="4"/>
  <c r="H26" i="4" s="1"/>
  <c r="I26" i="4" s="1"/>
  <c r="I27" i="4"/>
  <c r="H27" i="4"/>
  <c r="G27" i="4"/>
  <c r="G47" i="4"/>
  <c r="H47" i="4" s="1"/>
  <c r="I47" i="4" s="1"/>
  <c r="G48" i="4"/>
  <c r="G22" i="4"/>
  <c r="G23" i="4"/>
  <c r="G45" i="4"/>
  <c r="H45" i="4" s="1"/>
  <c r="I45" i="4" s="1"/>
  <c r="G46" i="4"/>
  <c r="G71" i="4"/>
  <c r="H71" i="4" s="1"/>
  <c r="I71" i="4" s="1"/>
  <c r="G70" i="4"/>
  <c r="H70" i="4" s="1"/>
  <c r="I70" i="4" s="1"/>
  <c r="G73" i="4"/>
  <c r="G30" i="2" l="1"/>
  <c r="H31" i="2" s="1"/>
  <c r="H22" i="4"/>
  <c r="I22" i="4" s="1"/>
  <c r="I51" i="4" s="1"/>
  <c r="O15" i="3"/>
  <c r="O16" i="3" s="1"/>
  <c r="L18" i="3"/>
  <c r="C16" i="3"/>
  <c r="O10" i="3"/>
  <c r="O12" i="3" s="1"/>
  <c r="D12" i="3"/>
  <c r="D18" i="3" s="1"/>
  <c r="E12" i="3"/>
  <c r="E18" i="3" s="1"/>
  <c r="F12" i="3"/>
  <c r="G12" i="3"/>
  <c r="H12" i="3"/>
  <c r="H18" i="3" s="1"/>
  <c r="I12" i="3"/>
  <c r="I18" i="3" s="1"/>
  <c r="J12" i="3"/>
  <c r="K12" i="3"/>
  <c r="L12" i="3"/>
  <c r="M12" i="3"/>
  <c r="M18" i="3" s="1"/>
  <c r="N12" i="3"/>
  <c r="C12" i="3"/>
  <c r="G100" i="4"/>
  <c r="H100" i="4"/>
  <c r="I100" i="4"/>
  <c r="J100" i="4"/>
  <c r="K100" i="4"/>
  <c r="F100" i="4"/>
  <c r="F51" i="4"/>
  <c r="G51" i="4"/>
  <c r="J51" i="4"/>
  <c r="K51" i="4"/>
  <c r="G85" i="4"/>
  <c r="H85" i="4"/>
  <c r="I85" i="4"/>
  <c r="J85" i="4"/>
  <c r="K85" i="4"/>
  <c r="G67" i="4"/>
  <c r="H67" i="4"/>
  <c r="I67" i="4"/>
  <c r="J67" i="4"/>
  <c r="K67" i="4"/>
  <c r="E52" i="2"/>
  <c r="F52" i="2"/>
  <c r="I52" i="2"/>
  <c r="J52" i="2"/>
  <c r="J65" i="2"/>
  <c r="F65" i="2"/>
  <c r="G65" i="2"/>
  <c r="H65" i="2"/>
  <c r="I65" i="2"/>
  <c r="E65" i="2"/>
  <c r="F26" i="1"/>
  <c r="G26" i="1"/>
  <c r="H26" i="1"/>
  <c r="I26" i="1"/>
  <c r="J26" i="1"/>
  <c r="E26" i="1"/>
  <c r="C18" i="3" l="1"/>
  <c r="H51" i="4"/>
  <c r="E67" i="2"/>
  <c r="H30" i="2"/>
  <c r="H52" i="2" s="1"/>
  <c r="G52" i="2"/>
  <c r="M90" i="4"/>
  <c r="S91" i="4"/>
  <c r="S90" i="4"/>
  <c r="S89" i="4"/>
  <c r="P89" i="4"/>
  <c r="Q89" i="4"/>
  <c r="N90" i="4"/>
  <c r="O91" i="4"/>
  <c r="N89" i="4"/>
  <c r="O89" i="4"/>
  <c r="P90" i="4"/>
  <c r="M91" i="4"/>
  <c r="Q90" i="4"/>
  <c r="N91" i="4"/>
  <c r="M89" i="4"/>
  <c r="L90" i="4"/>
  <c r="R90" i="4"/>
  <c r="L91" i="4"/>
  <c r="Q91" i="4"/>
  <c r="R91" i="4"/>
  <c r="F89" i="4"/>
  <c r="O90" i="4"/>
  <c r="P91" i="4"/>
  <c r="R89" i="4"/>
  <c r="L89" i="4"/>
  <c r="O18" i="3"/>
  <c r="N18" i="3"/>
  <c r="K18" i="3"/>
  <c r="J18" i="3"/>
  <c r="G18" i="3"/>
  <c r="F18" i="3"/>
  <c r="F67" i="2"/>
  <c r="I67" i="2"/>
  <c r="G67" i="2"/>
  <c r="J67" i="2"/>
  <c r="F87" i="4"/>
  <c r="J87" i="4"/>
  <c r="H87" i="4"/>
  <c r="K87" i="4"/>
  <c r="I87" i="4"/>
  <c r="G87" i="4"/>
  <c r="G89" i="4"/>
  <c r="I89" i="4"/>
  <c r="K89" i="4"/>
  <c r="H90" i="4"/>
  <c r="J90" i="4"/>
  <c r="G91" i="4"/>
  <c r="I91" i="4"/>
  <c r="K91" i="4"/>
  <c r="F90" i="4"/>
  <c r="H89" i="4"/>
  <c r="J89" i="4"/>
  <c r="G90" i="4"/>
  <c r="I90" i="4"/>
  <c r="K90" i="4"/>
  <c r="H91" i="4"/>
  <c r="J91" i="4"/>
  <c r="F91" i="4"/>
  <c r="I41" i="1"/>
  <c r="G41" i="1"/>
  <c r="E41" i="1"/>
  <c r="J41" i="1"/>
  <c r="H41" i="1"/>
  <c r="F41" i="1"/>
  <c r="M92" i="4" l="1"/>
  <c r="M102" i="4" s="1"/>
  <c r="N92" i="4"/>
  <c r="N102" i="4" s="1"/>
  <c r="L92" i="4"/>
  <c r="L102" i="4" s="1"/>
  <c r="E45" i="1"/>
  <c r="S92" i="4"/>
  <c r="S102" i="4" s="1"/>
  <c r="J92" i="4"/>
  <c r="J102" i="4" s="1"/>
  <c r="R92" i="4"/>
  <c r="R102" i="4" s="1"/>
  <c r="K92" i="4"/>
  <c r="K102" i="4" s="1"/>
  <c r="P92" i="4"/>
  <c r="P102" i="4" s="1"/>
  <c r="H92" i="4"/>
  <c r="H102" i="4" s="1"/>
  <c r="I92" i="4"/>
  <c r="I102" i="4" s="1"/>
  <c r="G92" i="4"/>
  <c r="G102" i="4" s="1"/>
  <c r="O92" i="4"/>
  <c r="O102" i="4" s="1"/>
  <c r="Q92" i="4"/>
  <c r="Q102" i="4" s="1"/>
  <c r="F92" i="4"/>
  <c r="F102" i="4" s="1"/>
  <c r="H71" i="2"/>
  <c r="H67" i="2"/>
  <c r="G71" i="2"/>
  <c r="F69" i="2"/>
  <c r="Q71" i="2"/>
  <c r="R70" i="2"/>
  <c r="M70" i="2"/>
  <c r="R69" i="2"/>
  <c r="R71" i="2"/>
  <c r="F71" i="2"/>
  <c r="M71" i="2"/>
  <c r="Q69" i="2"/>
  <c r="J70" i="2"/>
  <c r="O69" i="2"/>
  <c r="I69" i="2"/>
  <c r="J71" i="2"/>
  <c r="I70" i="2"/>
  <c r="P70" i="2"/>
  <c r="L69" i="2"/>
  <c r="K71" i="2"/>
  <c r="I71" i="2"/>
  <c r="L70" i="2"/>
  <c r="G70" i="2"/>
  <c r="H70" i="2"/>
  <c r="N70" i="2"/>
  <c r="O71" i="2"/>
  <c r="M69" i="2"/>
  <c r="M72" i="2" s="1"/>
  <c r="M82" i="2" s="1"/>
  <c r="J69" i="2"/>
  <c r="L71" i="2"/>
  <c r="G69" i="2"/>
  <c r="H69" i="2"/>
  <c r="P71" i="2"/>
  <c r="K70" i="2"/>
  <c r="E69" i="2"/>
  <c r="N71" i="2"/>
  <c r="N69" i="2"/>
  <c r="Q70" i="2"/>
  <c r="O70" i="2"/>
  <c r="P69" i="2"/>
  <c r="K69" i="2"/>
  <c r="E70" i="2"/>
  <c r="G43" i="1"/>
  <c r="I45" i="1"/>
  <c r="J45" i="1"/>
  <c r="Q43" i="1"/>
  <c r="N43" i="1"/>
  <c r="P44" i="1"/>
  <c r="P43" i="1"/>
  <c r="K45" i="1"/>
  <c r="J43" i="1"/>
  <c r="F45" i="1"/>
  <c r="Q44" i="1"/>
  <c r="G45" i="1"/>
  <c r="H45" i="1"/>
  <c r="O43" i="1"/>
  <c r="L45" i="1"/>
  <c r="M44" i="1"/>
  <c r="K44" i="1"/>
  <c r="M45" i="1"/>
  <c r="J44" i="1"/>
  <c r="L44" i="1"/>
  <c r="N45" i="1"/>
  <c r="K43" i="1"/>
  <c r="L43" i="1"/>
  <c r="N44" i="1"/>
  <c r="P45" i="1"/>
  <c r="O45" i="1"/>
  <c r="M43" i="1"/>
  <c r="O44" i="1"/>
  <c r="Q45" i="1"/>
  <c r="F70" i="2"/>
  <c r="E71" i="2"/>
  <c r="E43" i="1"/>
  <c r="I44" i="1"/>
  <c r="H43" i="1"/>
  <c r="H44" i="1"/>
  <c r="I43" i="1"/>
  <c r="G44" i="1"/>
  <c r="F43" i="1"/>
  <c r="E44" i="1"/>
  <c r="F44" i="1"/>
  <c r="P72" i="2" l="1"/>
  <c r="P82" i="2" s="1"/>
  <c r="K72" i="2"/>
  <c r="K82" i="2" s="1"/>
  <c r="J72" i="2"/>
  <c r="J82" i="2" s="1"/>
  <c r="H72" i="2"/>
  <c r="N72" i="2"/>
  <c r="N82" i="2" s="1"/>
  <c r="G72" i="2"/>
  <c r="O72" i="2"/>
  <c r="O82" i="2" s="1"/>
  <c r="Q72" i="2"/>
  <c r="Q82" i="2" s="1"/>
  <c r="R72" i="2"/>
  <c r="R82" i="2" s="1"/>
  <c r="F72" i="2"/>
  <c r="L72" i="2"/>
  <c r="L82" i="2" s="1"/>
  <c r="I72" i="2"/>
  <c r="E72" i="2"/>
  <c r="K46" i="1"/>
  <c r="K56" i="1" s="1"/>
  <c r="L46" i="1"/>
  <c r="L56" i="1" s="1"/>
  <c r="M46" i="1"/>
  <c r="M56" i="1" s="1"/>
  <c r="F46" i="1"/>
  <c r="O46" i="1"/>
  <c r="O56" i="1" s="1"/>
  <c r="I46" i="1"/>
  <c r="I56" i="1" s="1"/>
  <c r="J46" i="1"/>
  <c r="J56" i="1" s="1"/>
  <c r="N46" i="1"/>
  <c r="N56" i="1" s="1"/>
  <c r="G46" i="1"/>
  <c r="Q46" i="1"/>
  <c r="Q56" i="1" s="1"/>
  <c r="H46" i="1"/>
  <c r="P46" i="1"/>
  <c r="P56" i="1" s="1"/>
  <c r="E46" i="1"/>
</calcChain>
</file>

<file path=xl/sharedStrings.xml><?xml version="1.0" encoding="utf-8"?>
<sst xmlns="http://schemas.openxmlformats.org/spreadsheetml/2006/main" count="695" uniqueCount="202">
  <si>
    <t>Atmos Energy Corporation</t>
  </si>
  <si>
    <t>Deferred Tax Balances  - Shared Services (Company 010)</t>
  </si>
  <si>
    <t>(ALL NUMBERS ARE TAX EFFECTED)</t>
  </si>
  <si>
    <t>DEFERRED TAX ASSETS / (LIABILITIES)</t>
  </si>
  <si>
    <t>CTC</t>
  </si>
  <si>
    <t>GL ACCT</t>
  </si>
  <si>
    <t>Type</t>
  </si>
  <si>
    <t>Deferred Tax Balances - Kentucky Division - 009DIV</t>
  </si>
  <si>
    <t>Fiscal 2012</t>
  </si>
  <si>
    <t>Fiscal 2013</t>
  </si>
  <si>
    <t xml:space="preserve">    Directors Deferred Bonus</t>
  </si>
  <si>
    <t xml:space="preserve">    MIP / VPP Accrual</t>
  </si>
  <si>
    <t xml:space="preserve">    Accrued Environmental Asset</t>
  </si>
  <si>
    <t xml:space="preserve">    Miscellaneous Accrued</t>
  </si>
  <si>
    <t xml:space="preserve">    Self Insurance - Adjustment</t>
  </si>
  <si>
    <t xml:space="preserve">    Vacation Accrual</t>
  </si>
  <si>
    <t xml:space="preserve">    Worker's Comp Insurance Reserve</t>
  </si>
  <si>
    <t xml:space="preserve">    Rabbi Trust - True Up</t>
  </si>
  <si>
    <t xml:space="preserve">    SEBP Adjustment</t>
  </si>
  <si>
    <t xml:space="preserve">    Restricted Stock Grant Plan</t>
  </si>
  <si>
    <t xml:space="preserve">    Rabbi Trust</t>
  </si>
  <si>
    <t xml:space="preserve">    Restricted Stock - MIP</t>
  </si>
  <si>
    <t xml:space="preserve">    Director's Stock Awards</t>
  </si>
  <si>
    <t xml:space="preserve">    Director's Stock - Temp</t>
  </si>
  <si>
    <t xml:space="preserve">    Pension Expense</t>
  </si>
  <si>
    <t xml:space="preserve">    FAS 106 Adjustment</t>
  </si>
  <si>
    <t xml:space="preserve">    CWIP</t>
  </si>
  <si>
    <t xml:space="preserve">FXA26  </t>
  </si>
  <si>
    <t xml:space="preserve">    Fixed Asset Cost Adjustment</t>
  </si>
  <si>
    <t xml:space="preserve">FXA01  </t>
  </si>
  <si>
    <t xml:space="preserve">    Depreciation Adjustment</t>
  </si>
  <si>
    <t xml:space="preserve">FXA02  </t>
  </si>
  <si>
    <t xml:space="preserve">    Section 481(a) Cushion Gas</t>
  </si>
  <si>
    <t xml:space="preserve">    Section 481(a) Line Pack Gas</t>
  </si>
  <si>
    <t xml:space="preserve">    IRS Audit Assessment - Cost</t>
  </si>
  <si>
    <t xml:space="preserve">    IRS Audit Assessment - Accum</t>
  </si>
  <si>
    <t xml:space="preserve">    Deferred Gas Costs</t>
  </si>
  <si>
    <t xml:space="preserve">    Over Recoveries of PGA</t>
  </si>
  <si>
    <t xml:space="preserve">    Customer Advances</t>
  </si>
  <si>
    <t xml:space="preserve">    Deferred Expense Projects</t>
  </si>
  <si>
    <t xml:space="preserve">    RAR 91/93 Bond Cost Amortized</t>
  </si>
  <si>
    <t xml:space="preserve">    RAR 91/93 Bond Costs Capitalized</t>
  </si>
  <si>
    <t xml:space="preserve">    DIG on Fixed Assets</t>
  </si>
  <si>
    <t xml:space="preserve">    DIG on Fixed Assets - UCG Storage</t>
  </si>
  <si>
    <t xml:space="preserve">    DIG on Fixed Assets - WKG</t>
  </si>
  <si>
    <t xml:space="preserve">    RAR 86/90 Lease Expense Amortiz.</t>
  </si>
  <si>
    <t xml:space="preserve">    Capitalized Selling Expense</t>
  </si>
  <si>
    <t xml:space="preserve">    UNICAP Section 263A Costs</t>
  </si>
  <si>
    <t xml:space="preserve">    Allowance for Doubtful Accounts</t>
  </si>
  <si>
    <t xml:space="preserve">    Clearing Account - Adjustment</t>
  </si>
  <si>
    <t xml:space="preserve">    Charitable Contribution Carryover</t>
  </si>
  <si>
    <t xml:space="preserve">    RAR CFWE 1990-1985</t>
  </si>
  <si>
    <t xml:space="preserve">    Union Gas - Non Compete</t>
  </si>
  <si>
    <t xml:space="preserve">    Palmyra - Non Compete</t>
  </si>
  <si>
    <t xml:space="preserve">    Prepayments</t>
  </si>
  <si>
    <t xml:space="preserve">    Rate Case Accrual</t>
  </si>
  <si>
    <t xml:space="preserve">    Stock Option Expense</t>
  </si>
  <si>
    <t xml:space="preserve">    WACOG to FIFO Adjustment</t>
  </si>
  <si>
    <t xml:space="preserve">    Federal &amp; State Tax Interest</t>
  </si>
  <si>
    <t xml:space="preserve">    Regulatory Liability - Atmos 109</t>
  </si>
  <si>
    <t xml:space="preserve">    Regulatory Liability - UCGC 109</t>
  </si>
  <si>
    <t xml:space="preserve">    Regulatory Liability - UCGC Rate</t>
  </si>
  <si>
    <t xml:space="preserve">    Deferred ITC - UCG Non-utility</t>
  </si>
  <si>
    <t xml:space="preserve">    Deferred ITC - UCG</t>
  </si>
  <si>
    <t xml:space="preserve">    Intra Period Tax Allocation</t>
  </si>
  <si>
    <t xml:space="preserve">    FD - NOL Credit Carryforward - Utility</t>
  </si>
  <si>
    <t xml:space="preserve">    FD - NOL Credit Carryforward - Non Reg</t>
  </si>
  <si>
    <t xml:space="preserve">    ST - State Net Operating Loss</t>
  </si>
  <si>
    <t xml:space="preserve">TAX04  </t>
  </si>
  <si>
    <t xml:space="preserve">    ST - State Bonus Depreciation</t>
  </si>
  <si>
    <t xml:space="preserve">TAX05  </t>
  </si>
  <si>
    <t xml:space="preserve">    FD - FAS 115 Adjustment</t>
  </si>
  <si>
    <t xml:space="preserve">    FD - Federal Benefit on State Bonu</t>
  </si>
  <si>
    <t xml:space="preserve">TAX11  </t>
  </si>
  <si>
    <t xml:space="preserve">    FD - Federal Tax on State NOL</t>
  </si>
  <si>
    <t xml:space="preserve">TAX12  </t>
  </si>
  <si>
    <t xml:space="preserve">    FD - FAS 158 Measure Date Change</t>
  </si>
  <si>
    <t xml:space="preserve">    FD - AMT Minimum Tax Credit</t>
  </si>
  <si>
    <t xml:space="preserve">    ST - Enterprise Zone ITC</t>
  </si>
  <si>
    <t xml:space="preserve">    FD - Treasury Lock Adjustment-realized</t>
  </si>
  <si>
    <t>TAX40</t>
  </si>
  <si>
    <t xml:space="preserve">    FD - Treasury Lock Adjustment-unrealized</t>
  </si>
  <si>
    <t>TAX41</t>
  </si>
  <si>
    <t>A1900-28201</t>
  </si>
  <si>
    <t>A1900-28206</t>
  </si>
  <si>
    <t>A2820-28201</t>
  </si>
  <si>
    <t>A2820-28206</t>
  </si>
  <si>
    <t>A2830-28201</t>
  </si>
  <si>
    <t>A2830-28206</t>
  </si>
  <si>
    <t>Deferred Income Taxes</t>
  </si>
  <si>
    <t>SUBTOTAL PLANT RELATED DEFERRED</t>
  </si>
  <si>
    <t>SUBTOTAL NON PLANT RELATED DEFERRED</t>
  </si>
  <si>
    <t>SUBTOTAL  OTHER TAX EFFECTED ITEMS</t>
  </si>
  <si>
    <t>TOTAL DEFERRED TAX ASSETS / (LIABILITIES)</t>
  </si>
  <si>
    <t>Fiscal 2011</t>
  </si>
  <si>
    <t>Deferred Tax Balances - Brentwood Division - 091DIV</t>
  </si>
  <si>
    <t>Deferred Tax Assets - Non Plant Related</t>
  </si>
  <si>
    <t>Deferred Tax Liabilities - Plant Related</t>
  </si>
  <si>
    <t>Deferred Tax Liabilities - Non Plant Related</t>
  </si>
  <si>
    <t>Total</t>
  </si>
  <si>
    <t>OTHER TAX EFFECTED ITEMS</t>
  </si>
  <si>
    <t>Ending Balance</t>
  </si>
  <si>
    <t xml:space="preserve"> </t>
  </si>
  <si>
    <t>Deferred Tax Assets - Others</t>
  </si>
  <si>
    <t>Deferred Tax Liabilities - Others</t>
  </si>
  <si>
    <t>A</t>
  </si>
  <si>
    <t>P</t>
  </si>
  <si>
    <t>002DIV</t>
  </si>
  <si>
    <t>012DIV</t>
  </si>
  <si>
    <t>L</t>
  </si>
  <si>
    <t>TOTAL TAX EFFECTED</t>
  </si>
  <si>
    <t>Federal income taxes - operating</t>
  </si>
  <si>
    <t>4091</t>
  </si>
  <si>
    <t>Company</t>
  </si>
  <si>
    <t>Service</t>
  </si>
  <si>
    <t>002 DIV</t>
  </si>
  <si>
    <t>012 DIV</t>
  </si>
  <si>
    <t>10 Total</t>
  </si>
  <si>
    <t>009 DIV</t>
  </si>
  <si>
    <t>091 DIV</t>
  </si>
  <si>
    <t>50 Total</t>
  </si>
  <si>
    <t>Grand Total</t>
  </si>
  <si>
    <t>ACC03</t>
  </si>
  <si>
    <t>ACC04</t>
  </si>
  <si>
    <t>ACC06</t>
  </si>
  <si>
    <t>ACC08</t>
  </si>
  <si>
    <t>ACC11</t>
  </si>
  <si>
    <t>ACC12</t>
  </si>
  <si>
    <t>GCA01</t>
  </si>
  <si>
    <t>GCA03</t>
  </si>
  <si>
    <t>NTE11</t>
  </si>
  <si>
    <t>ONT02</t>
  </si>
  <si>
    <t>ONT03</t>
  </si>
  <si>
    <t>ONT31</t>
  </si>
  <si>
    <t>ONT32</t>
  </si>
  <si>
    <t>ONT52</t>
  </si>
  <si>
    <t>CAP01</t>
  </si>
  <si>
    <t>DTE09</t>
  </si>
  <si>
    <t>DVA05</t>
  </si>
  <si>
    <t>DVA06</t>
  </si>
  <si>
    <t>DVA18</t>
  </si>
  <si>
    <t>DVA26</t>
  </si>
  <si>
    <t>FXA01</t>
  </si>
  <si>
    <t>FXA02</t>
  </si>
  <si>
    <t>FXA13</t>
  </si>
  <si>
    <t>FXA14</t>
  </si>
  <si>
    <t>FXA26</t>
  </si>
  <si>
    <t>NBP03</t>
  </si>
  <si>
    <t>NBP05</t>
  </si>
  <si>
    <t>NBP06</t>
  </si>
  <si>
    <t>NBP13</t>
  </si>
  <si>
    <t>NBP16</t>
  </si>
  <si>
    <t>NTE03</t>
  </si>
  <si>
    <t>ONT04</t>
  </si>
  <si>
    <t>ONT06</t>
  </si>
  <si>
    <t>ONT21</t>
  </si>
  <si>
    <t>ONT23</t>
  </si>
  <si>
    <t>ONT50</t>
  </si>
  <si>
    <t>ONT61</t>
  </si>
  <si>
    <t>PEN01</t>
  </si>
  <si>
    <t>PRB01</t>
  </si>
  <si>
    <t>RGL01</t>
  </si>
  <si>
    <t>RGL04</t>
  </si>
  <si>
    <t>RGL05</t>
  </si>
  <si>
    <t>ITC02</t>
  </si>
  <si>
    <t>ITC03</t>
  </si>
  <si>
    <t>TAX06</t>
  </si>
  <si>
    <t>TAX22</t>
  </si>
  <si>
    <t>TAX04</t>
  </si>
  <si>
    <t>TAX05</t>
  </si>
  <si>
    <t>TAX11</t>
  </si>
  <si>
    <t>TAX12</t>
  </si>
  <si>
    <t>TAX23</t>
  </si>
  <si>
    <t>TAX39</t>
  </si>
  <si>
    <t>NBP01</t>
  </si>
  <si>
    <t>FXA15</t>
  </si>
  <si>
    <t>FXA16</t>
  </si>
  <si>
    <t>NBP18</t>
  </si>
  <si>
    <t>ACC05</t>
  </si>
  <si>
    <t>DVA16</t>
  </si>
  <si>
    <t>DVA19</t>
  </si>
  <si>
    <t>OTH</t>
  </si>
  <si>
    <t>TAX02U</t>
  </si>
  <si>
    <t>TAX02NR</t>
  </si>
  <si>
    <t>KY DR Q47 (a)  1 &amp; 2</t>
  </si>
  <si>
    <t>KY DR Q47 (a)  3</t>
  </si>
  <si>
    <t>Deferred Gas Costs</t>
  </si>
  <si>
    <t>Fiscal 2014</t>
  </si>
  <si>
    <t>Fiscal 2015</t>
  </si>
  <si>
    <t>CYE 12/31/2014</t>
  </si>
  <si>
    <t xml:space="preserve">    RWIP</t>
  </si>
  <si>
    <t xml:space="preserve">    FD-NOL Credit Carryforward - Other</t>
  </si>
  <si>
    <t>TAX02OT</t>
  </si>
  <si>
    <t xml:space="preserve">    RWIP </t>
  </si>
  <si>
    <t>FXA47</t>
  </si>
  <si>
    <t xml:space="preserve">    Reg Asset Benefit Accrual</t>
  </si>
  <si>
    <t>ONT68</t>
  </si>
  <si>
    <t>Rate</t>
  </si>
  <si>
    <t xml:space="preserve">    Partnership Investment - Unitary</t>
  </si>
  <si>
    <t>ONT37</t>
  </si>
  <si>
    <t>ONT67</t>
  </si>
  <si>
    <t xml:space="preserve">    VA Charitable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</si>
</sst>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#,##0.0"/>
    <numFmt numFmtId="166" formatCode="General;;"/>
    <numFmt numFmtId="167" formatCode="_(* #,##0.0_);_(* \(#,##0.0\);&quot;&quot;;_(@_)"/>
    <numFmt numFmtId="168" formatCode="[Blue]#,##0,_);[Red]\(#,##0,\)"/>
    <numFmt numFmtId="169" formatCode="_(* #,##0_);_(* \(#,##0\);_(* &quot;-&quot;??_);_(@_)"/>
    <numFmt numFmtId="170" formatCode="###,000"/>
  </numFmts>
  <fonts count="1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Helvetica-Narrow"/>
      <family val="2"/>
    </font>
    <font>
      <sz val="12"/>
      <name val="Times New Roman"/>
      <family val="1"/>
    </font>
    <font>
      <b/>
      <i/>
      <sz val="16"/>
      <name val="Helv"/>
    </font>
    <font>
      <sz val="12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8"/>
      <name val="Arial"/>
      <family val="2"/>
    </font>
    <font>
      <sz val="11"/>
      <color indexed="20"/>
      <name val="Calibri"/>
      <family val="2"/>
    </font>
    <font>
      <sz val="12"/>
      <name val="Tms Rmn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b/>
      <sz val="11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i/>
      <sz val="10"/>
      <name val="Tms Rmn"/>
    </font>
    <font>
      <b/>
      <sz val="10"/>
      <color indexed="8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8"/>
      <name val="Wingdings"/>
      <charset val="2"/>
    </font>
    <font>
      <sz val="11"/>
      <color indexed="10"/>
      <name val="Calibri"/>
      <family val="2"/>
    </font>
    <font>
      <sz val="10"/>
      <name val="Calibri"/>
      <family val="2"/>
    </font>
    <font>
      <sz val="11"/>
      <color indexed="12"/>
      <name val="Book Antiqua"/>
      <family val="1"/>
    </font>
    <font>
      <sz val="11"/>
      <name val="??"/>
      <family val="3"/>
      <charset val="129"/>
    </font>
    <font>
      <b/>
      <u/>
      <sz val="11"/>
      <color indexed="37"/>
      <name val="Arial"/>
      <family val="2"/>
    </font>
    <font>
      <b/>
      <sz val="8"/>
      <name val="Palatino"/>
      <family val="1"/>
    </font>
    <font>
      <sz val="10"/>
      <color indexed="12"/>
      <name val="Arial"/>
      <family val="2"/>
    </font>
    <font>
      <b/>
      <sz val="12"/>
      <name val="Tms Rmn"/>
    </font>
    <font>
      <b/>
      <sz val="22"/>
      <color indexed="16"/>
      <name val="Arial"/>
      <family val="2"/>
    </font>
    <font>
      <sz val="12"/>
      <color indexed="62"/>
      <name val="Arial"/>
      <family val="2"/>
    </font>
    <font>
      <sz val="10"/>
      <name val="MS Sans Serif"/>
      <family val="2"/>
    </font>
    <font>
      <b/>
      <sz val="16"/>
      <color indexed="16"/>
      <name val="Arial"/>
      <family val="2"/>
    </font>
    <font>
      <sz val="12"/>
      <color indexed="13"/>
      <name val="Tms Rmn"/>
    </font>
    <font>
      <b/>
      <sz val="18"/>
      <name val="Palatino"/>
      <family val="1"/>
    </font>
    <font>
      <sz val="12"/>
      <name val="新細明體"/>
      <family val="1"/>
      <charset val="136"/>
    </font>
    <font>
      <b/>
      <sz val="12"/>
      <color indexed="12"/>
      <name val="Arial"/>
      <family val="2"/>
    </font>
    <font>
      <sz val="8"/>
      <color indexed="48"/>
      <name val="Arial"/>
      <family val="2"/>
    </font>
    <font>
      <b/>
      <sz val="10"/>
      <name val="MS Sans Serif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1"/>
      <color indexed="8"/>
      <name val="Times New Roman"/>
      <family val="1"/>
    </font>
    <font>
      <b/>
      <sz val="22"/>
      <color indexed="8"/>
      <name val="Times New Roman"/>
      <family val="1"/>
    </font>
    <font>
      <sz val="10"/>
      <color indexed="62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2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</font>
    <font>
      <sz val="11"/>
      <color indexed="60"/>
      <name val="Calibri"/>
      <family val="2"/>
      <scheme val="minor"/>
    </font>
    <font>
      <sz val="11"/>
      <color indexed="8"/>
      <name val="Times New Roman"/>
      <family val="1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0"/>
      <color theme="1"/>
      <name val="Calibri"/>
      <family val="2"/>
      <scheme val="minor"/>
    </font>
  </fonts>
  <fills count="8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3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842">
    <xf numFmtId="0" fontId="0" fillId="0" borderId="0"/>
    <xf numFmtId="41" fontId="1" fillId="0" borderId="0" applyFont="0" applyFill="0" applyBorder="0" applyAlignment="0" applyProtection="0"/>
    <xf numFmtId="37" fontId="18" fillId="0" borderId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164" fontId="20" fillId="0" borderId="0"/>
    <xf numFmtId="0" fontId="21" fillId="0" borderId="0">
      <alignment vertical="center"/>
    </xf>
    <xf numFmtId="0" fontId="21" fillId="0" borderId="0">
      <alignment vertical="center"/>
    </xf>
    <xf numFmtId="40" fontId="22" fillId="33" borderId="0">
      <alignment horizontal="right"/>
    </xf>
    <xf numFmtId="0" fontId="23" fillId="34" borderId="0">
      <alignment horizontal="center"/>
    </xf>
    <xf numFmtId="0" fontId="24" fillId="33" borderId="12"/>
    <xf numFmtId="0" fontId="25" fillId="0" borderId="0" applyBorder="0">
      <alignment horizontal="centerContinuous"/>
    </xf>
    <xf numFmtId="0" fontId="26" fillId="0" borderId="0" applyBorder="0">
      <alignment horizontal="centerContinuous"/>
    </xf>
    <xf numFmtId="37" fontId="18" fillId="0" borderId="0" applyProtection="0"/>
    <xf numFmtId="43" fontId="19" fillId="0" borderId="0" applyFont="0" applyFill="0" applyBorder="0" applyAlignment="0" applyProtection="0"/>
    <xf numFmtId="0" fontId="1" fillId="26" borderId="0" applyNumberFormat="0" applyBorder="0" applyAlignment="0" applyProtection="0"/>
    <xf numFmtId="0" fontId="32" fillId="39" borderId="0" applyNumberFormat="0" applyBorder="0" applyAlignment="0" applyProtection="0"/>
    <xf numFmtId="0" fontId="1" fillId="22" borderId="0" applyNumberFormat="0" applyBorder="0" applyAlignment="0" applyProtection="0"/>
    <xf numFmtId="0" fontId="32" fillId="38" borderId="0" applyNumberFormat="0" applyBorder="0" applyAlignment="0" applyProtection="0"/>
    <xf numFmtId="0" fontId="1" fillId="18" borderId="0" applyNumberFormat="0" applyBorder="0" applyAlignment="0" applyProtection="0"/>
    <xf numFmtId="0" fontId="32" fillId="37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1" fillId="10" borderId="0" applyNumberFormat="0" applyBorder="0" applyAlignment="0" applyProtection="0"/>
    <xf numFmtId="0" fontId="32" fillId="35" borderId="0" applyNumberFormat="0" applyBorder="0" applyAlignment="0" applyProtection="0"/>
    <xf numFmtId="0" fontId="31" fillId="0" borderId="0"/>
    <xf numFmtId="0" fontId="32" fillId="40" borderId="0" applyNumberFormat="0" applyBorder="0" applyAlignment="0" applyProtection="0"/>
    <xf numFmtId="0" fontId="1" fillId="30" borderId="0" applyNumberFormat="0" applyBorder="0" applyAlignment="0" applyProtection="0"/>
    <xf numFmtId="0" fontId="32" fillId="41" borderId="0" applyNumberFormat="0" applyBorder="0" applyAlignment="0" applyProtection="0"/>
    <xf numFmtId="0" fontId="1" fillId="11" borderId="0" applyNumberFormat="0" applyBorder="0" applyAlignment="0" applyProtection="0"/>
    <xf numFmtId="0" fontId="32" fillId="42" borderId="0" applyNumberFormat="0" applyBorder="0" applyAlignment="0" applyProtection="0"/>
    <xf numFmtId="0" fontId="1" fillId="15" borderId="0" applyNumberFormat="0" applyBorder="0" applyAlignment="0" applyProtection="0"/>
    <xf numFmtId="0" fontId="32" fillId="43" borderId="0" applyNumberFormat="0" applyBorder="0" applyAlignment="0" applyProtection="0"/>
    <xf numFmtId="0" fontId="1" fillId="19" borderId="0" applyNumberFormat="0" applyBorder="0" applyAlignment="0" applyProtection="0"/>
    <xf numFmtId="0" fontId="32" fillId="38" borderId="0" applyNumberFormat="0" applyBorder="0" applyAlignment="0" applyProtection="0"/>
    <xf numFmtId="0" fontId="1" fillId="23" borderId="0" applyNumberFormat="0" applyBorder="0" applyAlignment="0" applyProtection="0"/>
    <xf numFmtId="0" fontId="32" fillId="41" borderId="0" applyNumberFormat="0" applyBorder="0" applyAlignment="0" applyProtection="0"/>
    <xf numFmtId="0" fontId="1" fillId="27" borderId="0" applyNumberFormat="0" applyBorder="0" applyAlignment="0" applyProtection="0"/>
    <xf numFmtId="0" fontId="32" fillId="44" borderId="0" applyNumberFormat="0" applyBorder="0" applyAlignment="0" applyProtection="0"/>
    <xf numFmtId="0" fontId="1" fillId="31" borderId="0" applyNumberFormat="0" applyBorder="0" applyAlignment="0" applyProtection="0"/>
    <xf numFmtId="0" fontId="33" fillId="45" borderId="0" applyNumberFormat="0" applyBorder="0" applyAlignment="0" applyProtection="0"/>
    <xf numFmtId="0" fontId="17" fillId="12" borderId="0" applyNumberFormat="0" applyBorder="0" applyAlignment="0" applyProtection="0"/>
    <xf numFmtId="0" fontId="33" fillId="42" borderId="0" applyNumberFormat="0" applyBorder="0" applyAlignment="0" applyProtection="0"/>
    <xf numFmtId="0" fontId="17" fillId="16" borderId="0" applyNumberFormat="0" applyBorder="0" applyAlignment="0" applyProtection="0"/>
    <xf numFmtId="0" fontId="33" fillId="43" borderId="0" applyNumberFormat="0" applyBorder="0" applyAlignment="0" applyProtection="0"/>
    <xf numFmtId="0" fontId="17" fillId="20" borderId="0" applyNumberFormat="0" applyBorder="0" applyAlignment="0" applyProtection="0"/>
    <xf numFmtId="0" fontId="33" fillId="46" borderId="0" applyNumberFormat="0" applyBorder="0" applyAlignment="0" applyProtection="0"/>
    <xf numFmtId="0" fontId="17" fillId="24" borderId="0" applyNumberFormat="0" applyBorder="0" applyAlignment="0" applyProtection="0"/>
    <xf numFmtId="0" fontId="33" fillId="47" borderId="0" applyNumberFormat="0" applyBorder="0" applyAlignment="0" applyProtection="0"/>
    <xf numFmtId="0" fontId="17" fillId="28" borderId="0" applyNumberFormat="0" applyBorder="0" applyAlignment="0" applyProtection="0"/>
    <xf numFmtId="0" fontId="33" fillId="48" borderId="0" applyNumberFormat="0" applyBorder="0" applyAlignment="0" applyProtection="0"/>
    <xf numFmtId="0" fontId="17" fillId="32" borderId="0" applyNumberFormat="0" applyBorder="0" applyAlignment="0" applyProtection="0"/>
    <xf numFmtId="0" fontId="33" fillId="49" borderId="0" applyNumberFormat="0" applyBorder="0" applyAlignment="0" applyProtection="0"/>
    <xf numFmtId="0" fontId="17" fillId="9" borderId="0" applyNumberFormat="0" applyBorder="0" applyAlignment="0" applyProtection="0"/>
    <xf numFmtId="0" fontId="33" fillId="50" borderId="0" applyNumberFormat="0" applyBorder="0" applyAlignment="0" applyProtection="0"/>
    <xf numFmtId="0" fontId="17" fillId="13" borderId="0" applyNumberFormat="0" applyBorder="0" applyAlignment="0" applyProtection="0"/>
    <xf numFmtId="0" fontId="33" fillId="51" borderId="0" applyNumberFormat="0" applyBorder="0" applyAlignment="0" applyProtection="0"/>
    <xf numFmtId="0" fontId="17" fillId="17" borderId="0" applyNumberFormat="0" applyBorder="0" applyAlignment="0" applyProtection="0"/>
    <xf numFmtId="0" fontId="33" fillId="46" borderId="0" applyNumberFormat="0" applyBorder="0" applyAlignment="0" applyProtection="0"/>
    <xf numFmtId="0" fontId="17" fillId="21" borderId="0" applyNumberFormat="0" applyBorder="0" applyAlignment="0" applyProtection="0"/>
    <xf numFmtId="0" fontId="33" fillId="47" borderId="0" applyNumberFormat="0" applyBorder="0" applyAlignment="0" applyProtection="0"/>
    <xf numFmtId="0" fontId="17" fillId="25" borderId="0" applyNumberFormat="0" applyBorder="0" applyAlignment="0" applyProtection="0"/>
    <xf numFmtId="0" fontId="33" fillId="52" borderId="0" applyNumberFormat="0" applyBorder="0" applyAlignment="0" applyProtection="0"/>
    <xf numFmtId="0" fontId="17" fillId="29" borderId="0" applyNumberFormat="0" applyBorder="0" applyAlignment="0" applyProtection="0"/>
    <xf numFmtId="0" fontId="29" fillId="53" borderId="15">
      <alignment horizontal="center" vertical="center"/>
    </xf>
    <xf numFmtId="0" fontId="29" fillId="53" borderId="15">
      <alignment horizontal="center" vertical="center"/>
    </xf>
    <xf numFmtId="0" fontId="29" fillId="53" borderId="15">
      <alignment horizontal="center" vertical="center"/>
    </xf>
    <xf numFmtId="0" fontId="29" fillId="53" borderId="15">
      <alignment horizontal="center" vertical="center"/>
    </xf>
    <xf numFmtId="3" fontId="34" fillId="54" borderId="0" applyBorder="0">
      <alignment horizontal="right"/>
      <protection locked="0"/>
    </xf>
    <xf numFmtId="0" fontId="35" fillId="36" borderId="0" applyNumberFormat="0" applyBorder="0" applyAlignment="0" applyProtection="0"/>
    <xf numFmtId="0" fontId="7" fillId="3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55" borderId="16" applyNumberFormat="0" applyAlignment="0" applyProtection="0"/>
    <xf numFmtId="0" fontId="11" fillId="6" borderId="4" applyNumberFormat="0" applyAlignment="0" applyProtection="0"/>
    <xf numFmtId="0" fontId="38" fillId="56" borderId="17" applyNumberFormat="0" applyAlignment="0" applyProtection="0"/>
    <xf numFmtId="0" fontId="13" fillId="7" borderId="7" applyNumberFormat="0" applyAlignment="0" applyProtection="0"/>
    <xf numFmtId="0" fontId="39" fillId="57" borderId="0">
      <alignment horizontal="left"/>
    </xf>
    <xf numFmtId="0" fontId="40" fillId="57" borderId="0">
      <alignment horizontal="right"/>
    </xf>
    <xf numFmtId="0" fontId="41" fillId="54" borderId="0">
      <alignment horizontal="center"/>
    </xf>
    <xf numFmtId="0" fontId="40" fillId="57" borderId="0">
      <alignment horizontal="right"/>
    </xf>
    <xf numFmtId="0" fontId="42" fillId="54" borderId="0">
      <alignment horizontal="left"/>
    </xf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43" fillId="0" borderId="0">
      <alignment horizontal="left" vertical="center" indent="1"/>
    </xf>
    <xf numFmtId="8" fontId="65" fillId="0" borderId="18">
      <protection locked="0"/>
    </xf>
    <xf numFmtId="0" fontId="36" fillId="0" borderId="0"/>
    <xf numFmtId="0" fontId="36" fillId="0" borderId="19"/>
    <xf numFmtId="6" fontId="66" fillId="0" borderId="0">
      <protection locked="0"/>
    </xf>
    <xf numFmtId="0" fontId="27" fillId="0" borderId="0" applyNumberFormat="0">
      <protection locked="0"/>
    </xf>
    <xf numFmtId="165" fontId="29" fillId="58" borderId="0" applyFill="0" applyBorder="0" applyProtection="0"/>
    <xf numFmtId="165" fontId="29" fillId="58" borderId="0" applyFill="0" applyBorder="0" applyProtection="0"/>
    <xf numFmtId="165" fontId="29" fillId="58" borderId="0" applyFill="0" applyBorder="0" applyProtection="0"/>
    <xf numFmtId="0" fontId="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45" fillId="37" borderId="0" applyNumberFormat="0" applyBorder="0" applyAlignment="0" applyProtection="0"/>
    <xf numFmtId="0" fontId="6" fillId="2" borderId="0" applyNumberFormat="0" applyBorder="0" applyAlignment="0" applyProtection="0"/>
    <xf numFmtId="38" fontId="27" fillId="59" borderId="0" applyNumberFormat="0" applyBorder="0" applyAlignment="0" applyProtection="0"/>
    <xf numFmtId="0" fontId="67" fillId="0" borderId="0" applyNumberFormat="0" applyFill="0" applyBorder="0" applyAlignment="0" applyProtection="0"/>
    <xf numFmtId="37" fontId="18" fillId="0" borderId="0" applyProtection="0"/>
    <xf numFmtId="0" fontId="68" fillId="0" borderId="0">
      <alignment horizontal="center"/>
    </xf>
    <xf numFmtId="0" fontId="46" fillId="0" borderId="20" applyNumberFormat="0" applyFill="0" applyAlignment="0" applyProtection="0"/>
    <xf numFmtId="0" fontId="3" fillId="0" borderId="1" applyNumberFormat="0" applyFill="0" applyAlignment="0" applyProtection="0"/>
    <xf numFmtId="0" fontId="47" fillId="0" borderId="21" applyNumberFormat="0" applyFill="0" applyAlignment="0" applyProtection="0"/>
    <xf numFmtId="0" fontId="4" fillId="0" borderId="2" applyNumberFormat="0" applyFill="0" applyAlignment="0" applyProtection="0"/>
    <xf numFmtId="0" fontId="48" fillId="0" borderId="22" applyNumberFormat="0" applyFill="0" applyAlignment="0" applyProtection="0"/>
    <xf numFmtId="0" fontId="5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8" fillId="0" borderId="0">
      <alignment horizontal="center"/>
    </xf>
    <xf numFmtId="0" fontId="31" fillId="0" borderId="0">
      <protection locked="0"/>
    </xf>
    <xf numFmtId="0" fontId="31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69" fillId="0" borderId="23" applyNumberFormat="0" applyFill="0" applyAlignment="0" applyProtection="0"/>
    <xf numFmtId="0" fontId="49" fillId="40" borderId="16" applyNumberFormat="0" applyAlignment="0" applyProtection="0"/>
    <xf numFmtId="10" fontId="27" fillId="34" borderId="24" applyNumberFormat="0" applyBorder="0" applyAlignment="0" applyProtection="0"/>
    <xf numFmtId="0" fontId="9" fillId="5" borderId="4" applyNumberFormat="0" applyAlignment="0" applyProtection="0"/>
    <xf numFmtId="0" fontId="50" fillId="0" borderId="0"/>
    <xf numFmtId="41" fontId="78" fillId="0" borderId="0">
      <alignment horizontal="left"/>
    </xf>
    <xf numFmtId="0" fontId="70" fillId="60" borderId="19"/>
    <xf numFmtId="0" fontId="71" fillId="0" borderId="0" applyNumberFormat="0">
      <alignment horizontal="left"/>
    </xf>
    <xf numFmtId="0" fontId="39" fillId="57" borderId="0">
      <alignment horizontal="left"/>
    </xf>
    <xf numFmtId="0" fontId="51" fillId="54" borderId="0">
      <alignment horizontal="left"/>
    </xf>
    <xf numFmtId="0" fontId="27" fillId="59" borderId="0"/>
    <xf numFmtId="0" fontId="52" fillId="0" borderId="25" applyNumberFormat="0" applyFill="0" applyAlignment="0" applyProtection="0"/>
    <xf numFmtId="0" fontId="12" fillId="0" borderId="6" applyNumberFormat="0" applyFill="0" applyAlignment="0" applyProtection="0"/>
    <xf numFmtId="0" fontId="53" fillId="61" borderId="0" applyNumberFormat="0" applyBorder="0" applyAlignment="0" applyProtection="0"/>
    <xf numFmtId="0" fontId="8" fillId="4" borderId="0" applyNumberFormat="0" applyBorder="0" applyAlignment="0" applyProtection="0"/>
    <xf numFmtId="37" fontId="54" fillId="0" borderId="0"/>
    <xf numFmtId="3" fontId="27" fillId="59" borderId="0" applyNumberFormat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31" fillId="62" borderId="26" applyNumberFormat="0" applyFont="0" applyAlignment="0" applyProtection="0"/>
    <xf numFmtId="0" fontId="28" fillId="62" borderId="26" applyNumberFormat="0" applyFont="0" applyAlignment="0" applyProtection="0"/>
    <xf numFmtId="0" fontId="32" fillId="8" borderId="8" applyNumberFormat="0" applyFont="0" applyAlignment="0" applyProtection="0"/>
    <xf numFmtId="0" fontId="28" fillId="62" borderId="26" applyNumberFormat="0" applyFont="0" applyAlignment="0" applyProtection="0"/>
    <xf numFmtId="0" fontId="32" fillId="8" borderId="8" applyNumberFormat="0" applyFont="0" applyAlignment="0" applyProtection="0"/>
    <xf numFmtId="43" fontId="72" fillId="0" borderId="0"/>
    <xf numFmtId="43" fontId="72" fillId="0" borderId="0"/>
    <xf numFmtId="43" fontId="85" fillId="0" borderId="0"/>
    <xf numFmtId="168" fontId="79" fillId="0" borderId="0"/>
    <xf numFmtId="0" fontId="55" fillId="55" borderId="27" applyNumberFormat="0" applyAlignment="0" applyProtection="0"/>
    <xf numFmtId="0" fontId="10" fillId="6" borderId="5" applyNumberFormat="0" applyAlignment="0" applyProtection="0"/>
    <xf numFmtId="0" fontId="23" fillId="34" borderId="0">
      <alignment horizontal="center"/>
    </xf>
    <xf numFmtId="0" fontId="83" fillId="33" borderId="0">
      <alignment horizontal="right"/>
    </xf>
    <xf numFmtId="0" fontId="39" fillId="63" borderId="12"/>
    <xf numFmtId="0" fontId="24" fillId="33" borderId="12"/>
    <xf numFmtId="0" fontId="25" fillId="0" borderId="0" applyBorder="0">
      <alignment horizontal="centerContinuous"/>
    </xf>
    <xf numFmtId="0" fontId="24" fillId="0" borderId="0" applyBorder="0">
      <alignment horizontal="centerContinuous"/>
    </xf>
    <xf numFmtId="0" fontId="31" fillId="0" borderId="0"/>
    <xf numFmtId="0" fontId="26" fillId="0" borderId="0" applyBorder="0">
      <alignment horizontal="centerContinuous"/>
    </xf>
    <xf numFmtId="0" fontId="84" fillId="0" borderId="0" applyBorder="0">
      <alignment horizontal="centerContinuous"/>
    </xf>
    <xf numFmtId="0" fontId="81" fillId="0" borderId="28" applyNumberFormat="0" applyAlignment="0" applyProtection="0"/>
    <xf numFmtId="0" fontId="82" fillId="64" borderId="0" applyNumberFormat="0" applyFont="0" applyBorder="0" applyAlignment="0" applyProtection="0"/>
    <xf numFmtId="0" fontId="27" fillId="65" borderId="29" applyNumberFormat="0" applyFont="0" applyBorder="0" applyAlignment="0" applyProtection="0">
      <alignment horizontal="center"/>
    </xf>
    <xf numFmtId="0" fontId="27" fillId="53" borderId="29" applyNumberFormat="0" applyFont="0" applyBorder="0" applyAlignment="0" applyProtection="0">
      <alignment horizontal="center"/>
    </xf>
    <xf numFmtId="0" fontId="82" fillId="0" borderId="30" applyNumberFormat="0" applyAlignment="0" applyProtection="0"/>
    <xf numFmtId="0" fontId="82" fillId="0" borderId="31" applyNumberFormat="0" applyAlignment="0" applyProtection="0"/>
    <xf numFmtId="0" fontId="81" fillId="0" borderId="32" applyNumberFormat="0" applyAlignment="0" applyProtection="0"/>
    <xf numFmtId="9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0" fontId="80" fillId="0" borderId="33">
      <alignment horizontal="center"/>
    </xf>
    <xf numFmtId="3" fontId="73" fillId="0" borderId="0" applyFont="0" applyFill="0" applyBorder="0" applyAlignment="0" applyProtection="0"/>
    <xf numFmtId="0" fontId="73" fillId="66" borderId="0" applyNumberFormat="0" applyFont="0" applyBorder="0" applyAlignment="0" applyProtection="0"/>
    <xf numFmtId="0" fontId="51" fillId="61" borderId="0">
      <alignment horizontal="center"/>
    </xf>
    <xf numFmtId="49" fontId="56" fillId="54" borderId="0">
      <alignment horizontal="center"/>
    </xf>
    <xf numFmtId="0" fontId="36" fillId="0" borderId="0"/>
    <xf numFmtId="0" fontId="40" fillId="57" borderId="0">
      <alignment horizontal="center"/>
    </xf>
    <xf numFmtId="0" fontId="40" fillId="57" borderId="0">
      <alignment horizontal="centerContinuous"/>
    </xf>
    <xf numFmtId="0" fontId="57" fillId="54" borderId="0">
      <alignment horizontal="left"/>
    </xf>
    <xf numFmtId="49" fontId="57" fillId="54" borderId="0">
      <alignment horizontal="center"/>
    </xf>
    <xf numFmtId="0" fontId="39" fillId="57" borderId="0">
      <alignment horizontal="left"/>
    </xf>
    <xf numFmtId="49" fontId="57" fillId="54" borderId="0">
      <alignment horizontal="left"/>
    </xf>
    <xf numFmtId="0" fontId="39" fillId="57" borderId="0">
      <alignment horizontal="centerContinuous"/>
    </xf>
    <xf numFmtId="0" fontId="39" fillId="57" borderId="0">
      <alignment horizontal="right"/>
    </xf>
    <xf numFmtId="49" fontId="51" fillId="54" borderId="0">
      <alignment horizontal="left"/>
    </xf>
    <xf numFmtId="0" fontId="40" fillId="57" borderId="0">
      <alignment horizontal="right"/>
    </xf>
    <xf numFmtId="0" fontId="57" fillId="40" borderId="0">
      <alignment horizontal="center"/>
    </xf>
    <xf numFmtId="0" fontId="58" fillId="40" borderId="0">
      <alignment horizontal="center"/>
    </xf>
    <xf numFmtId="0" fontId="59" fillId="67" borderId="34"/>
    <xf numFmtId="0" fontId="74" fillId="0" borderId="0" applyNumberFormat="0">
      <alignment horizontal="left"/>
    </xf>
    <xf numFmtId="0" fontId="36" fillId="0" borderId="19"/>
    <xf numFmtId="0" fontId="60" fillId="0" borderId="0" applyNumberFormat="0" applyFill="0" applyBorder="0" applyAlignment="0" applyProtection="0"/>
    <xf numFmtId="0" fontId="75" fillId="57" borderId="0"/>
    <xf numFmtId="0" fontId="2" fillId="0" borderId="0" applyNumberFormat="0" applyFill="0" applyBorder="0" applyAlignment="0" applyProtection="0"/>
    <xf numFmtId="166" fontId="76" fillId="0" borderId="0">
      <alignment horizontal="center"/>
    </xf>
    <xf numFmtId="166" fontId="76" fillId="0" borderId="0">
      <alignment horizontal="center"/>
    </xf>
    <xf numFmtId="166" fontId="76" fillId="0" borderId="0">
      <alignment horizontal="center"/>
    </xf>
    <xf numFmtId="0" fontId="61" fillId="0" borderId="35" applyNumberFormat="0" applyFill="0" applyAlignment="0" applyProtection="0"/>
    <xf numFmtId="0" fontId="16" fillId="0" borderId="9" applyNumberFormat="0" applyFill="0" applyAlignment="0" applyProtection="0"/>
    <xf numFmtId="0" fontId="70" fillId="0" borderId="36"/>
    <xf numFmtId="0" fontId="70" fillId="0" borderId="19"/>
    <xf numFmtId="37" fontId="27" fillId="68" borderId="0" applyNumberFormat="0" applyBorder="0" applyAlignment="0" applyProtection="0"/>
    <xf numFmtId="37" fontId="27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3" fontId="58" fillId="0" borderId="23" applyProtection="0"/>
    <xf numFmtId="0" fontId="62" fillId="54" borderId="0">
      <alignment horizontal="center"/>
    </xf>
    <xf numFmtId="0" fontId="6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7" fillId="0" borderId="0"/>
    <xf numFmtId="43" fontId="19" fillId="0" borderId="0" applyFont="0" applyFill="0" applyBorder="0" applyAlignment="0" applyProtection="0"/>
    <xf numFmtId="37" fontId="18" fillId="0" borderId="0" applyProtection="0"/>
    <xf numFmtId="43" fontId="19" fillId="0" borderId="0" applyFont="0" applyFill="0" applyBorder="0" applyAlignment="0" applyProtection="0"/>
    <xf numFmtId="0" fontId="28" fillId="0" borderId="0"/>
    <xf numFmtId="41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37" fontId="18" fillId="0" borderId="0" applyProtection="0"/>
    <xf numFmtId="0" fontId="60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37" fontId="18" fillId="0" borderId="0" applyProtection="0"/>
    <xf numFmtId="43" fontId="19" fillId="0" borderId="0" applyFont="0" applyFill="0" applyBorder="0" applyAlignment="0" applyProtection="0"/>
    <xf numFmtId="37" fontId="18" fillId="0" borderId="0" applyProtection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37" fontId="18" fillId="0" borderId="0" applyProtection="0"/>
    <xf numFmtId="0" fontId="49" fillId="40" borderId="16" applyNumberFormat="0" applyAlignment="0" applyProtection="0"/>
    <xf numFmtId="0" fontId="49" fillId="40" borderId="16" applyNumberFormat="0" applyAlignment="0" applyProtection="0"/>
    <xf numFmtId="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8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1" fillId="0" borderId="0"/>
    <xf numFmtId="37" fontId="18" fillId="0" borderId="0" applyProtection="0"/>
    <xf numFmtId="43" fontId="86" fillId="0" borderId="0" applyFont="0" applyFill="0" applyBorder="0" applyAlignment="0" applyProtection="0"/>
    <xf numFmtId="0" fontId="60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37" fontId="18" fillId="0" borderId="0" applyProtection="0"/>
    <xf numFmtId="43" fontId="8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9" fillId="40" borderId="16" applyNumberFormat="0" applyAlignment="0" applyProtection="0"/>
    <xf numFmtId="37" fontId="18" fillId="0" borderId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37" fontId="18" fillId="0" borderId="0" applyProtection="0"/>
    <xf numFmtId="0" fontId="49" fillId="40" borderId="16" applyNumberFormat="0" applyAlignment="0" applyProtection="0"/>
    <xf numFmtId="0" fontId="49" fillId="40" borderId="16" applyNumberFormat="0" applyAlignment="0" applyProtection="0"/>
    <xf numFmtId="0" fontId="49" fillId="40" borderId="16" applyNumberFormat="0" applyAlignment="0" applyProtection="0"/>
    <xf numFmtId="0" fontId="49" fillId="40" borderId="16" applyNumberFormat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37" fontId="18" fillId="0" borderId="0" applyProtection="0"/>
    <xf numFmtId="43" fontId="86" fillId="0" borderId="0" applyFont="0" applyFill="0" applyBorder="0" applyAlignment="0" applyProtection="0"/>
    <xf numFmtId="0" fontId="28" fillId="0" borderId="0"/>
    <xf numFmtId="43" fontId="86" fillId="0" borderId="0" applyFont="0" applyFill="0" applyBorder="0" applyAlignment="0" applyProtection="0"/>
    <xf numFmtId="37" fontId="18" fillId="0" borderId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37" fontId="18" fillId="0" borderId="0" applyProtection="0"/>
    <xf numFmtId="43" fontId="86" fillId="0" borderId="0" applyFont="0" applyFill="0" applyBorder="0" applyAlignment="0" applyProtection="0"/>
    <xf numFmtId="37" fontId="18" fillId="0" borderId="0" applyProtection="0"/>
    <xf numFmtId="43" fontId="86" fillId="0" borderId="0" applyFont="0" applyFill="0" applyBorder="0" applyAlignment="0" applyProtection="0"/>
    <xf numFmtId="0" fontId="28" fillId="0" borderId="0"/>
    <xf numFmtId="0" fontId="28" fillId="0" borderId="0"/>
    <xf numFmtId="43" fontId="86" fillId="0" borderId="0" applyFont="0" applyFill="0" applyBorder="0" applyAlignment="0" applyProtection="0"/>
    <xf numFmtId="37" fontId="18" fillId="0" borderId="0" applyProtection="0"/>
    <xf numFmtId="43" fontId="86" fillId="0" borderId="0" applyFont="0" applyFill="0" applyBorder="0" applyAlignment="0" applyProtection="0"/>
    <xf numFmtId="37" fontId="18" fillId="0" borderId="0" applyProtection="0"/>
    <xf numFmtId="37" fontId="18" fillId="0" borderId="0" applyProtection="0"/>
    <xf numFmtId="43" fontId="86" fillId="0" borderId="0" applyFont="0" applyFill="0" applyBorder="0" applyAlignment="0" applyProtection="0"/>
    <xf numFmtId="37" fontId="18" fillId="0" borderId="0" applyProtection="0"/>
    <xf numFmtId="43" fontId="86" fillId="0" borderId="0" applyFont="0" applyFill="0" applyBorder="0" applyAlignment="0" applyProtection="0"/>
    <xf numFmtId="37" fontId="18" fillId="0" borderId="0" applyProtection="0"/>
    <xf numFmtId="0" fontId="28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37" fontId="18" fillId="0" borderId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37" fontId="18" fillId="0" borderId="0" applyProtection="0"/>
    <xf numFmtId="9" fontId="28" fillId="0" borderId="0" applyFont="0" applyFill="0" applyBorder="0" applyAlignment="0" applyProtection="0"/>
    <xf numFmtId="43" fontId="86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9" fillId="40" borderId="16" applyNumberFormat="0" applyAlignment="0" applyProtection="0"/>
    <xf numFmtId="0" fontId="49" fillId="40" borderId="16" applyNumberFormat="0" applyAlignment="0" applyProtection="0"/>
    <xf numFmtId="0" fontId="49" fillId="40" borderId="16" applyNumberFormat="0" applyAlignment="0" applyProtection="0"/>
    <xf numFmtId="37" fontId="18" fillId="0" borderId="0" applyProtection="0"/>
    <xf numFmtId="0" fontId="49" fillId="40" borderId="16" applyNumberFormat="0" applyAlignment="0" applyProtection="0"/>
    <xf numFmtId="0" fontId="49" fillId="40" borderId="16" applyNumberFormat="0" applyAlignment="0" applyProtection="0"/>
    <xf numFmtId="43" fontId="86" fillId="0" borderId="0" applyFont="0" applyFill="0" applyBorder="0" applyAlignment="0" applyProtection="0"/>
    <xf numFmtId="37" fontId="18" fillId="0" borderId="0" applyProtection="0"/>
    <xf numFmtId="43" fontId="86" fillId="0" borderId="0" applyFont="0" applyFill="0" applyBorder="0" applyAlignment="0" applyProtection="0"/>
    <xf numFmtId="37" fontId="18" fillId="0" borderId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37" fontId="18" fillId="0" borderId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37" fontId="18" fillId="0" borderId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37" fontId="18" fillId="0" borderId="0" applyProtection="0"/>
    <xf numFmtId="43" fontId="86" fillId="0" borderId="0" applyFont="0" applyFill="0" applyBorder="0" applyAlignment="0" applyProtection="0"/>
    <xf numFmtId="37" fontId="18" fillId="0" borderId="0" applyProtection="0"/>
    <xf numFmtId="0" fontId="31" fillId="0" borderId="0"/>
    <xf numFmtId="0" fontId="60" fillId="0" borderId="0" applyNumberFormat="0" applyFill="0" applyBorder="0" applyAlignment="0" applyProtection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49" fillId="40" borderId="16" applyNumberFormat="0" applyAlignment="0" applyProtection="0"/>
    <xf numFmtId="0" fontId="49" fillId="40" borderId="16" applyNumberFormat="0" applyAlignment="0" applyProtection="0"/>
    <xf numFmtId="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3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38" borderId="0" applyNumberFormat="0" applyBorder="0" applyAlignment="0" applyProtection="0"/>
    <xf numFmtId="0" fontId="1" fillId="22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55" borderId="0" applyNumberFormat="0" applyBorder="0" applyAlignment="0" applyProtection="0"/>
    <xf numFmtId="0" fontId="1" fillId="3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43" borderId="0" applyNumberFormat="0" applyBorder="0" applyAlignment="0" applyProtection="0"/>
    <xf numFmtId="0" fontId="1" fillId="19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1" fillId="23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44" borderId="0" applyNumberFormat="0" applyBorder="0" applyAlignment="0" applyProtection="0"/>
    <xf numFmtId="0" fontId="1" fillId="31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17" fillId="42" borderId="0" applyNumberFormat="0" applyBorder="0" applyAlignment="0" applyProtection="0"/>
    <xf numFmtId="0" fontId="17" fillId="16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17" fillId="43" borderId="0" applyNumberFormat="0" applyBorder="0" applyAlignment="0" applyProtection="0"/>
    <xf numFmtId="0" fontId="17" fillId="20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7" fillId="46" borderId="0" applyNumberFormat="0" applyBorder="0" applyAlignment="0" applyProtection="0"/>
    <xf numFmtId="0" fontId="17" fillId="24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17" fillId="47" borderId="0" applyNumberFormat="0" applyBorder="0" applyAlignment="0" applyProtection="0"/>
    <xf numFmtId="0" fontId="17" fillId="28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17" fillId="48" borderId="0" applyNumberFormat="0" applyBorder="0" applyAlignment="0" applyProtection="0"/>
    <xf numFmtId="0" fontId="17" fillId="32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17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17" fillId="46" borderId="0" applyNumberFormat="0" applyBorder="0" applyAlignment="0" applyProtection="0"/>
    <xf numFmtId="0" fontId="17" fillId="21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17" fillId="52" borderId="0" applyNumberFormat="0" applyBorder="0" applyAlignment="0" applyProtection="0"/>
    <xf numFmtId="0" fontId="17" fillId="29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7" fillId="36" borderId="0" applyNumberFormat="0" applyBorder="0" applyAlignment="0" applyProtection="0"/>
    <xf numFmtId="0" fontId="7" fillId="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89" fillId="55" borderId="4" applyNumberFormat="0" applyAlignment="0" applyProtection="0"/>
    <xf numFmtId="0" fontId="11" fillId="6" borderId="4" applyNumberFormat="0" applyAlignment="0" applyProtection="0"/>
    <xf numFmtId="0" fontId="37" fillId="55" borderId="16" applyNumberFormat="0" applyAlignment="0" applyProtection="0"/>
    <xf numFmtId="0" fontId="37" fillId="55" borderId="16" applyNumberFormat="0" applyAlignment="0" applyProtection="0"/>
    <xf numFmtId="0" fontId="38" fillId="56" borderId="17" applyNumberFormat="0" applyAlignment="0" applyProtection="0"/>
    <xf numFmtId="0" fontId="38" fillId="56" borderId="17" applyNumberFormat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2" fontId="28" fillId="0" borderId="0" applyFont="0" applyFill="0" applyBorder="0" applyAlignment="0" applyProtection="0"/>
    <xf numFmtId="42" fontId="28" fillId="0" borderId="0" applyFont="0" applyFill="0" applyBorder="0" applyAlignment="0" applyProtection="0"/>
    <xf numFmtId="42" fontId="28" fillId="0" borderId="0" applyFont="0" applyFill="0" applyBorder="0" applyAlignment="0" applyProtection="0"/>
    <xf numFmtId="42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0" applyNumberFormat="0">
      <protection locked="0"/>
    </xf>
    <xf numFmtId="0" fontId="27" fillId="0" borderId="0" applyNumberFormat="0">
      <protection locked="0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6" fillId="37" borderId="0" applyNumberFormat="0" applyBorder="0" applyAlignment="0" applyProtection="0"/>
    <xf numFmtId="0" fontId="6" fillId="2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38" fontId="27" fillId="59" borderId="0" applyNumberFormat="0" applyBorder="0" applyAlignment="0" applyProtection="0"/>
    <xf numFmtId="38" fontId="27" fillId="59" borderId="0" applyNumberFormat="0" applyBorder="0" applyAlignment="0" applyProtection="0"/>
    <xf numFmtId="0" fontId="46" fillId="0" borderId="20" applyNumberFormat="0" applyFill="0" applyAlignment="0" applyProtection="0"/>
    <xf numFmtId="0" fontId="3" fillId="0" borderId="1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" fillId="0" borderId="2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8" fillId="0" borderId="22" applyNumberFormat="0" applyFill="0" applyAlignment="0" applyProtection="0"/>
    <xf numFmtId="0" fontId="5" fillId="0" borderId="3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0" fontId="27" fillId="34" borderId="24" applyNumberFormat="0" applyBorder="0" applyAlignment="0" applyProtection="0"/>
    <xf numFmtId="10" fontId="27" fillId="34" borderId="24" applyNumberFormat="0" applyBorder="0" applyAlignment="0" applyProtection="0"/>
    <xf numFmtId="0" fontId="49" fillId="40" borderId="16" applyNumberFormat="0" applyAlignment="0" applyProtection="0"/>
    <xf numFmtId="0" fontId="49" fillId="40" borderId="16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49" fillId="40" borderId="16" applyNumberFormat="0" applyAlignment="0" applyProtection="0"/>
    <xf numFmtId="0" fontId="9" fillId="5" borderId="4" applyNumberFormat="0" applyAlignment="0" applyProtection="0"/>
    <xf numFmtId="0" fontId="52" fillId="0" borderId="25" applyNumberFormat="0" applyFill="0" applyAlignment="0" applyProtection="0"/>
    <xf numFmtId="0" fontId="12" fillId="0" borderId="6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92" fillId="4" borderId="0" applyNumberFormat="0" applyBorder="0" applyAlignment="0" applyProtection="0"/>
    <xf numFmtId="0" fontId="8" fillId="4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3" fontId="27" fillId="59" borderId="0" applyNumberFormat="0"/>
    <xf numFmtId="3" fontId="27" fillId="59" borderId="0" applyNumberFormat="0"/>
    <xf numFmtId="0" fontId="9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91" fillId="0" borderId="0"/>
    <xf numFmtId="0" fontId="9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32" fillId="8" borderId="8" applyNumberFormat="0" applyFont="0" applyAlignment="0" applyProtection="0"/>
    <xf numFmtId="0" fontId="1" fillId="8" borderId="8" applyNumberFormat="0" applyFont="0" applyAlignment="0" applyProtection="0"/>
    <xf numFmtId="0" fontId="28" fillId="62" borderId="26" applyNumberFormat="0" applyFont="0" applyAlignment="0" applyProtection="0"/>
    <xf numFmtId="0" fontId="28" fillId="62" borderId="26" applyNumberFormat="0" applyFont="0" applyAlignment="0" applyProtection="0"/>
    <xf numFmtId="0" fontId="28" fillId="62" borderId="26" applyNumberFormat="0" applyFont="0" applyAlignment="0" applyProtection="0"/>
    <xf numFmtId="0" fontId="28" fillId="62" borderId="26" applyNumberFormat="0" applyFont="0" applyAlignment="0" applyProtection="0"/>
    <xf numFmtId="0" fontId="28" fillId="62" borderId="26" applyNumberFormat="0" applyFont="0" applyAlignment="0" applyProtection="0"/>
    <xf numFmtId="0" fontId="28" fillId="62" borderId="26" applyNumberFormat="0" applyFont="0" applyAlignment="0" applyProtection="0"/>
    <xf numFmtId="0" fontId="28" fillId="62" borderId="26" applyNumberFormat="0" applyFont="0" applyAlignment="0" applyProtection="0"/>
    <xf numFmtId="0" fontId="28" fillId="62" borderId="26" applyNumberFormat="0" applyFont="0" applyAlignment="0" applyProtection="0"/>
    <xf numFmtId="0" fontId="10" fillId="55" borderId="5" applyNumberFormat="0" applyAlignment="0" applyProtection="0"/>
    <xf numFmtId="0" fontId="10" fillId="6" borderId="5" applyNumberFormat="0" applyAlignment="0" applyProtection="0"/>
    <xf numFmtId="0" fontId="55" fillId="55" borderId="27" applyNumberFormat="0" applyAlignment="0" applyProtection="0"/>
    <xf numFmtId="0" fontId="55" fillId="55" borderId="27" applyNumberFormat="0" applyAlignment="0" applyProtection="0"/>
    <xf numFmtId="40" fontId="93" fillId="33" borderId="0">
      <alignment horizontal="right"/>
    </xf>
    <xf numFmtId="0" fontId="83" fillId="33" borderId="0">
      <alignment horizontal="right"/>
    </xf>
    <xf numFmtId="0" fontId="23" fillId="34" borderId="0">
      <alignment horizontal="center"/>
    </xf>
    <xf numFmtId="0" fontId="39" fillId="63" borderId="12"/>
    <xf numFmtId="0" fontId="24" fillId="0" borderId="0" applyBorder="0">
      <alignment horizontal="centerContinuous"/>
    </xf>
    <xf numFmtId="0" fontId="25" fillId="0" borderId="0" applyBorder="0">
      <alignment horizontal="centerContinuous"/>
    </xf>
    <xf numFmtId="0" fontId="84" fillId="0" borderId="0" applyBorder="0">
      <alignment horizontal="centerContinuous"/>
    </xf>
    <xf numFmtId="0" fontId="26" fillId="0" borderId="0" applyBorder="0">
      <alignment horizontal="centerContinuous"/>
    </xf>
    <xf numFmtId="10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94" fillId="0" borderId="38" applyNumberFormat="0" applyFont="0" applyFill="0" applyAlignment="0" applyProtection="0"/>
    <xf numFmtId="170" fontId="95" fillId="0" borderId="39" applyNumberFormat="0" applyProtection="0">
      <alignment horizontal="right" vertical="center"/>
    </xf>
    <xf numFmtId="170" fontId="96" fillId="0" borderId="40" applyNumberFormat="0" applyProtection="0">
      <alignment horizontal="right" vertical="center"/>
    </xf>
    <xf numFmtId="0" fontId="96" fillId="69" borderId="38" applyNumberFormat="0" applyAlignment="0" applyProtection="0">
      <alignment horizontal="left" vertical="center" indent="1"/>
    </xf>
    <xf numFmtId="0" fontId="97" fillId="70" borderId="40" applyNumberFormat="0" applyAlignment="0" applyProtection="0">
      <alignment horizontal="left" vertical="center" indent="1"/>
    </xf>
    <xf numFmtId="0" fontId="97" fillId="70" borderId="40" applyNumberFormat="0" applyAlignment="0" applyProtection="0">
      <alignment horizontal="left" vertical="center" indent="1"/>
    </xf>
    <xf numFmtId="0" fontId="98" fillId="0" borderId="41" applyNumberFormat="0" applyFill="0" applyBorder="0" applyAlignment="0" applyProtection="0"/>
    <xf numFmtId="170" fontId="99" fillId="71" borderId="42" applyNumberFormat="0" applyBorder="0" applyAlignment="0" applyProtection="0">
      <alignment horizontal="right" vertical="center" indent="1"/>
    </xf>
    <xf numFmtId="170" fontId="100" fillId="72" borderId="42" applyNumberFormat="0" applyBorder="0" applyAlignment="0" applyProtection="0">
      <alignment horizontal="right" vertical="center" indent="1"/>
    </xf>
    <xf numFmtId="170" fontId="100" fillId="73" borderId="42" applyNumberFormat="0" applyBorder="0" applyAlignment="0" applyProtection="0">
      <alignment horizontal="right" vertical="center" indent="1"/>
    </xf>
    <xf numFmtId="170" fontId="101" fillId="74" borderId="42" applyNumberFormat="0" applyBorder="0" applyAlignment="0" applyProtection="0">
      <alignment horizontal="right" vertical="center" indent="1"/>
    </xf>
    <xf numFmtId="170" fontId="101" fillId="75" borderId="42" applyNumberFormat="0" applyBorder="0" applyAlignment="0" applyProtection="0">
      <alignment horizontal="right" vertical="center" indent="1"/>
    </xf>
    <xf numFmtId="170" fontId="101" fillId="76" borderId="42" applyNumberFormat="0" applyBorder="0" applyAlignment="0" applyProtection="0">
      <alignment horizontal="right" vertical="center" indent="1"/>
    </xf>
    <xf numFmtId="170" fontId="102" fillId="77" borderId="42" applyNumberFormat="0" applyBorder="0" applyAlignment="0" applyProtection="0">
      <alignment horizontal="right" vertical="center" indent="1"/>
    </xf>
    <xf numFmtId="170" fontId="102" fillId="78" borderId="42" applyNumberFormat="0" applyBorder="0" applyAlignment="0" applyProtection="0">
      <alignment horizontal="right" vertical="center" indent="1"/>
    </xf>
    <xf numFmtId="170" fontId="102" fillId="79" borderId="42" applyNumberFormat="0" applyBorder="0" applyAlignment="0" applyProtection="0">
      <alignment horizontal="right" vertical="center" indent="1"/>
    </xf>
    <xf numFmtId="0" fontId="97" fillId="80" borderId="38" applyNumberFormat="0" applyAlignment="0" applyProtection="0">
      <alignment horizontal="left" vertical="center" indent="1"/>
    </xf>
    <xf numFmtId="0" fontId="97" fillId="81" borderId="38" applyNumberFormat="0" applyAlignment="0" applyProtection="0">
      <alignment horizontal="left" vertical="center" indent="1"/>
    </xf>
    <xf numFmtId="0" fontId="97" fillId="82" borderId="38" applyNumberFormat="0" applyAlignment="0" applyProtection="0">
      <alignment horizontal="left" vertical="center" indent="1"/>
    </xf>
    <xf numFmtId="0" fontId="97" fillId="83" borderId="38" applyNumberFormat="0" applyAlignment="0" applyProtection="0">
      <alignment horizontal="left" vertical="center" indent="1"/>
    </xf>
    <xf numFmtId="0" fontId="97" fillId="84" borderId="40" applyNumberFormat="0" applyAlignment="0" applyProtection="0">
      <alignment horizontal="left" vertical="center" indent="1"/>
    </xf>
    <xf numFmtId="170" fontId="95" fillId="83" borderId="39" applyNumberFormat="0" applyBorder="0" applyProtection="0">
      <alignment horizontal="right" vertical="center"/>
    </xf>
    <xf numFmtId="170" fontId="96" fillId="83" borderId="40" applyNumberFormat="0" applyBorder="0" applyProtection="0">
      <alignment horizontal="right" vertical="center"/>
    </xf>
    <xf numFmtId="170" fontId="95" fillId="85" borderId="38" applyNumberFormat="0" applyAlignment="0" applyProtection="0">
      <alignment horizontal="left" vertical="center" indent="1"/>
    </xf>
    <xf numFmtId="0" fontId="96" fillId="69" borderId="40" applyNumberFormat="0" applyAlignment="0" applyProtection="0">
      <alignment horizontal="left" vertical="center" indent="1"/>
    </xf>
    <xf numFmtId="0" fontId="97" fillId="84" borderId="40" applyNumberFormat="0" applyAlignment="0" applyProtection="0">
      <alignment horizontal="left" vertical="center" indent="1"/>
    </xf>
    <xf numFmtId="170" fontId="96" fillId="84" borderId="40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35" applyNumberFormat="0" applyFill="0" applyAlignment="0" applyProtection="0"/>
    <xf numFmtId="0" fontId="16" fillId="0" borderId="9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37" fontId="27" fillId="68" borderId="0" applyNumberFormat="0" applyBorder="0" applyAlignment="0" applyProtection="0"/>
    <xf numFmtId="37" fontId="27" fillId="68" borderId="0" applyNumberFormat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0" fillId="0" borderId="0"/>
  </cellStyleXfs>
  <cellXfs count="143">
    <xf numFmtId="0" fontId="0" fillId="0" borderId="0" xfId="0"/>
    <xf numFmtId="37" fontId="18" fillId="0" borderId="0" xfId="2"/>
    <xf numFmtId="0" fontId="28" fillId="0" borderId="0" xfId="9" applyFont="1" applyFill="1">
      <alignment vertical="center"/>
    </xf>
    <xf numFmtId="0" fontId="28" fillId="0" borderId="0" xfId="9" applyFont="1" applyFill="1" applyBorder="1">
      <alignment vertical="center"/>
    </xf>
    <xf numFmtId="0" fontId="29" fillId="0" borderId="0" xfId="9" applyFont="1" applyFill="1">
      <alignment vertical="center"/>
    </xf>
    <xf numFmtId="0" fontId="28" fillId="0" borderId="0" xfId="9" applyFont="1" applyFill="1" applyBorder="1" applyAlignment="1">
      <alignment horizontal="center" vertical="center"/>
    </xf>
    <xf numFmtId="37" fontId="18" fillId="0" borderId="0" xfId="15"/>
    <xf numFmtId="0" fontId="28" fillId="0" borderId="0" xfId="9" applyFont="1" applyFill="1">
      <alignment vertical="center"/>
    </xf>
    <xf numFmtId="0" fontId="28" fillId="0" borderId="0" xfId="9" applyFont="1" applyFill="1" applyBorder="1">
      <alignment vertical="center"/>
    </xf>
    <xf numFmtId="0" fontId="29" fillId="0" borderId="0" xfId="9" applyFont="1" applyFill="1">
      <alignment vertical="center"/>
    </xf>
    <xf numFmtId="0" fontId="28" fillId="0" borderId="0" xfId="9" applyFont="1" applyFill="1" applyAlignment="1">
      <alignment horizontal="center" vertical="center"/>
    </xf>
    <xf numFmtId="0" fontId="28" fillId="0" borderId="0" xfId="9" applyFont="1" applyFill="1" applyBorder="1" applyAlignment="1">
      <alignment horizontal="center" vertical="center"/>
    </xf>
    <xf numFmtId="37" fontId="18" fillId="0" borderId="0" xfId="376"/>
    <xf numFmtId="0" fontId="28" fillId="0" borderId="0" xfId="9" applyFont="1" applyFill="1">
      <alignment vertical="center"/>
    </xf>
    <xf numFmtId="0" fontId="28" fillId="0" borderId="0" xfId="9" applyFont="1" applyFill="1" applyBorder="1">
      <alignment vertical="center"/>
    </xf>
    <xf numFmtId="0" fontId="29" fillId="0" borderId="0" xfId="9" applyFont="1" applyFill="1">
      <alignment vertical="center"/>
    </xf>
    <xf numFmtId="0" fontId="28" fillId="0" borderId="0" xfId="9" applyFont="1" applyFill="1" applyAlignment="1">
      <alignment horizontal="center" vertical="center"/>
    </xf>
    <xf numFmtId="0" fontId="0" fillId="0" borderId="0" xfId="0" applyBorder="1"/>
    <xf numFmtId="0" fontId="28" fillId="0" borderId="0" xfId="9" applyFont="1" applyFill="1" applyBorder="1" applyAlignment="1">
      <alignment horizontal="center" vertical="center"/>
    </xf>
    <xf numFmtId="0" fontId="28" fillId="0" borderId="0" xfId="9" applyFont="1" applyFill="1" applyAlignment="1">
      <alignment horizontal="center" vertical="center"/>
    </xf>
    <xf numFmtId="0" fontId="28" fillId="0" borderId="0" xfId="9" applyFont="1" applyFill="1">
      <alignment vertical="center"/>
    </xf>
    <xf numFmtId="37" fontId="18" fillId="0" borderId="0" xfId="357"/>
    <xf numFmtId="37" fontId="64" fillId="0" borderId="37" xfId="383" applyNumberFormat="1" applyFont="1" applyBorder="1" applyAlignment="1">
      <alignment horizontal="right"/>
    </xf>
    <xf numFmtId="0" fontId="64" fillId="0" borderId="0" xfId="342" applyFont="1" applyBorder="1" applyAlignment="1">
      <alignment horizontal="center"/>
    </xf>
    <xf numFmtId="41" fontId="64" fillId="0" borderId="0" xfId="86" applyFont="1" applyBorder="1" applyAlignment="1">
      <alignment horizontal="center"/>
    </xf>
    <xf numFmtId="0" fontId="28" fillId="0" borderId="0" xfId="9" applyFont="1" applyFill="1">
      <alignment vertical="center"/>
    </xf>
    <xf numFmtId="37" fontId="64" fillId="0" borderId="13" xfId="342" applyNumberFormat="1" applyFont="1" applyBorder="1" applyAlignment="1">
      <alignment horizontal="right"/>
    </xf>
    <xf numFmtId="41" fontId="64" fillId="0" borderId="13" xfId="86" applyFont="1" applyBorder="1"/>
    <xf numFmtId="0" fontId="28" fillId="0" borderId="0" xfId="9" applyFont="1" applyFill="1" applyAlignment="1">
      <alignment horizontal="center" vertical="center"/>
    </xf>
    <xf numFmtId="0" fontId="28" fillId="0" borderId="0" xfId="9" applyFont="1" applyFill="1">
      <alignment vertical="center"/>
    </xf>
    <xf numFmtId="37" fontId="18" fillId="0" borderId="0" xfId="379"/>
    <xf numFmtId="0" fontId="28" fillId="0" borderId="0" xfId="342"/>
    <xf numFmtId="37" fontId="64" fillId="0" borderId="0" xfId="342" applyNumberFormat="1" applyFont="1" applyAlignment="1">
      <alignment horizontal="right"/>
    </xf>
    <xf numFmtId="41" fontId="64" fillId="0" borderId="0" xfId="86" applyFont="1"/>
    <xf numFmtId="0" fontId="28" fillId="0" borderId="0" xfId="374"/>
    <xf numFmtId="0" fontId="64" fillId="0" borderId="0" xfId="374" applyFont="1"/>
    <xf numFmtId="0" fontId="64" fillId="0" borderId="0" xfId="374" applyFont="1" applyFill="1"/>
    <xf numFmtId="0" fontId="64" fillId="0" borderId="0" xfId="374" quotePrefix="1" applyFont="1"/>
    <xf numFmtId="0" fontId="64" fillId="0" borderId="0" xfId="374" quotePrefix="1" applyFont="1" applyAlignment="1">
      <alignment horizontal="left" indent="1"/>
    </xf>
    <xf numFmtId="49" fontId="64" fillId="0" borderId="0" xfId="374" applyNumberFormat="1" applyFont="1" applyAlignment="1">
      <alignment horizontal="center"/>
    </xf>
    <xf numFmtId="49" fontId="64" fillId="0" borderId="0" xfId="374" applyNumberFormat="1" applyFont="1" applyFill="1" applyAlignment="1">
      <alignment horizontal="center"/>
    </xf>
    <xf numFmtId="37" fontId="64" fillId="0" borderId="37" xfId="342" applyNumberFormat="1" applyFont="1" applyBorder="1" applyAlignment="1">
      <alignment horizontal="right"/>
    </xf>
    <xf numFmtId="0" fontId="28" fillId="0" borderId="0" xfId="325"/>
    <xf numFmtId="0" fontId="64" fillId="0" borderId="0" xfId="325" applyFont="1"/>
    <xf numFmtId="0" fontId="64" fillId="0" borderId="0" xfId="325" applyFont="1" applyFill="1"/>
    <xf numFmtId="0" fontId="64" fillId="0" borderId="0" xfId="325" applyFont="1" applyFill="1" applyAlignment="1">
      <alignment horizontal="center"/>
    </xf>
    <xf numFmtId="0" fontId="64" fillId="0" borderId="0" xfId="325" quotePrefix="1" applyFont="1"/>
    <xf numFmtId="0" fontId="64" fillId="0" borderId="0" xfId="325" quotePrefix="1" applyFont="1" applyAlignment="1">
      <alignment horizontal="left" indent="1"/>
    </xf>
    <xf numFmtId="0" fontId="64" fillId="0" borderId="0" xfId="8" applyFont="1" applyFill="1" applyBorder="1">
      <alignment vertical="center"/>
    </xf>
    <xf numFmtId="49" fontId="64" fillId="0" borderId="0" xfId="325" applyNumberFormat="1" applyFont="1" applyAlignment="1">
      <alignment horizontal="center"/>
    </xf>
    <xf numFmtId="49" fontId="64" fillId="0" borderId="0" xfId="325" applyNumberFormat="1" applyFont="1" applyFill="1" applyAlignment="1">
      <alignment horizontal="center"/>
    </xf>
    <xf numFmtId="0" fontId="28" fillId="0" borderId="0" xfId="9" applyFont="1" applyFill="1" applyAlignment="1">
      <alignment horizontal="center" vertical="center"/>
    </xf>
    <xf numFmtId="0" fontId="28" fillId="0" borderId="0" xfId="383"/>
    <xf numFmtId="37" fontId="64" fillId="0" borderId="0" xfId="383" applyNumberFormat="1" applyFont="1" applyAlignment="1">
      <alignment horizontal="right"/>
    </xf>
    <xf numFmtId="41" fontId="64" fillId="0" borderId="0" xfId="86" applyFont="1"/>
    <xf numFmtId="37" fontId="28" fillId="0" borderId="13" xfId="382" applyNumberFormat="1" applyFont="1" applyFill="1" applyBorder="1" applyAlignment="1">
      <alignment horizontal="center" vertical="center" wrapText="1"/>
    </xf>
    <xf numFmtId="14" fontId="64" fillId="0" borderId="0" xfId="86" applyNumberFormat="1" applyFont="1" applyBorder="1" applyAlignment="1">
      <alignment horizontal="center"/>
    </xf>
    <xf numFmtId="14" fontId="64" fillId="0" borderId="0" xfId="342" applyNumberFormat="1" applyFont="1" applyBorder="1" applyAlignment="1">
      <alignment horizontal="center"/>
    </xf>
    <xf numFmtId="41" fontId="64" fillId="0" borderId="0" xfId="86" applyFont="1"/>
    <xf numFmtId="0" fontId="28" fillId="0" borderId="0" xfId="9" applyFont="1" applyFill="1">
      <alignment vertical="center"/>
    </xf>
    <xf numFmtId="37" fontId="64" fillId="0" borderId="13" xfId="383" applyNumberFormat="1" applyFont="1" applyBorder="1" applyAlignment="1">
      <alignment horizontal="right"/>
    </xf>
    <xf numFmtId="0" fontId="28" fillId="0" borderId="0" xfId="9" applyFont="1" applyFill="1">
      <alignment vertical="center"/>
    </xf>
    <xf numFmtId="41" fontId="0" fillId="0" borderId="0" xfId="0" applyNumberFormat="1"/>
    <xf numFmtId="0" fontId="28" fillId="0" borderId="0" xfId="9" applyFont="1" applyFill="1">
      <alignment vertical="center"/>
    </xf>
    <xf numFmtId="0" fontId="28" fillId="0" borderId="0" xfId="9" applyFont="1" applyFill="1">
      <alignment vertical="center"/>
    </xf>
    <xf numFmtId="0" fontId="28" fillId="0" borderId="0" xfId="9" applyFont="1" applyFill="1">
      <alignment vertical="center"/>
    </xf>
    <xf numFmtId="0" fontId="28" fillId="0" borderId="0" xfId="9" applyFont="1" applyFill="1" applyBorder="1">
      <alignment vertical="center"/>
    </xf>
    <xf numFmtId="0" fontId="29" fillId="0" borderId="0" xfId="9" applyFont="1" applyFill="1">
      <alignment vertical="center"/>
    </xf>
    <xf numFmtId="0" fontId="28" fillId="0" borderId="0" xfId="9" applyFont="1" applyFill="1">
      <alignment vertical="center"/>
    </xf>
    <xf numFmtId="0" fontId="28" fillId="0" borderId="0" xfId="9" applyFont="1" applyFill="1" applyAlignment="1">
      <alignment horizontal="center" vertical="center"/>
    </xf>
    <xf numFmtId="0" fontId="28" fillId="0" borderId="0" xfId="9" applyFont="1" applyFill="1">
      <alignment vertical="center"/>
    </xf>
    <xf numFmtId="37" fontId="18" fillId="0" borderId="0" xfId="414"/>
    <xf numFmtId="17" fontId="88" fillId="0" borderId="0" xfId="0" applyNumberFormat="1" applyFont="1" applyFill="1" applyBorder="1" applyAlignment="1">
      <alignment horizontal="center"/>
    </xf>
    <xf numFmtId="0" fontId="28" fillId="0" borderId="0" xfId="9" applyFont="1" applyFill="1">
      <alignment vertical="center"/>
    </xf>
    <xf numFmtId="37" fontId="0" fillId="0" borderId="0" xfId="0" applyNumberFormat="1"/>
    <xf numFmtId="0" fontId="28" fillId="0" borderId="0" xfId="9" applyFont="1" applyFill="1">
      <alignment vertical="center"/>
    </xf>
    <xf numFmtId="0" fontId="28" fillId="0" borderId="0" xfId="9" applyFont="1" applyFill="1">
      <alignment vertical="center"/>
    </xf>
    <xf numFmtId="0" fontId="64" fillId="0" borderId="0" xfId="394" applyFont="1"/>
    <xf numFmtId="0" fontId="64" fillId="0" borderId="0" xfId="394" applyFont="1" applyFill="1"/>
    <xf numFmtId="0" fontId="64" fillId="0" borderId="0" xfId="394" applyFont="1" applyFill="1" applyAlignment="1">
      <alignment horizontal="center"/>
    </xf>
    <xf numFmtId="0" fontId="64" fillId="0" borderId="0" xfId="8" applyFont="1" applyFill="1" applyBorder="1">
      <alignment vertical="center"/>
    </xf>
    <xf numFmtId="49" fontId="64" fillId="0" borderId="0" xfId="394" applyNumberFormat="1" applyFont="1" applyAlignment="1">
      <alignment horizontal="center"/>
    </xf>
    <xf numFmtId="49" fontId="64" fillId="0" borderId="0" xfId="394" applyNumberFormat="1" applyFont="1" applyFill="1" applyAlignment="1">
      <alignment horizontal="center"/>
    </xf>
    <xf numFmtId="41" fontId="64" fillId="0" borderId="0" xfId="86" applyFont="1"/>
    <xf numFmtId="0" fontId="0" fillId="0" borderId="0" xfId="0" applyFill="1"/>
    <xf numFmtId="0" fontId="64" fillId="0" borderId="0" xfId="431" applyFont="1"/>
    <xf numFmtId="49" fontId="64" fillId="0" borderId="0" xfId="431" applyNumberFormat="1" applyFont="1" applyAlignment="1">
      <alignment horizontal="center"/>
    </xf>
    <xf numFmtId="41" fontId="0" fillId="0" borderId="0" xfId="1" applyFont="1" applyFill="1"/>
    <xf numFmtId="37" fontId="18" fillId="0" borderId="0" xfId="397"/>
    <xf numFmtId="49" fontId="28" fillId="0" borderId="0" xfId="9" applyNumberFormat="1" applyFont="1" applyFill="1" applyAlignment="1">
      <alignment horizontal="center" vertical="center"/>
    </xf>
    <xf numFmtId="49" fontId="28" fillId="0" borderId="0" xfId="9" applyNumberFormat="1" applyFont="1" applyFill="1">
      <alignment vertical="center"/>
    </xf>
    <xf numFmtId="49" fontId="28" fillId="0" borderId="0" xfId="397" applyNumberFormat="1" applyFont="1" applyFill="1"/>
    <xf numFmtId="49" fontId="29" fillId="0" borderId="13" xfId="397" applyNumberFormat="1" applyFont="1" applyFill="1" applyBorder="1" applyAlignment="1">
      <alignment horizontal="center"/>
    </xf>
    <xf numFmtId="49" fontId="29" fillId="0" borderId="0" xfId="397" applyNumberFormat="1" applyFont="1" applyFill="1"/>
    <xf numFmtId="49" fontId="29" fillId="0" borderId="0" xfId="9" applyNumberFormat="1" applyFont="1" applyFill="1">
      <alignment vertical="center"/>
    </xf>
    <xf numFmtId="49" fontId="28" fillId="0" borderId="0" xfId="436" applyNumberFormat="1" applyFont="1" applyFill="1" applyBorder="1" applyAlignment="1">
      <alignment horizontal="left"/>
    </xf>
    <xf numFmtId="49" fontId="29" fillId="0" borderId="0" xfId="436" applyNumberFormat="1" applyFont="1" applyFill="1" applyBorder="1"/>
    <xf numFmtId="49" fontId="29" fillId="0" borderId="11" xfId="436" applyNumberFormat="1" applyFont="1" applyFill="1" applyBorder="1" applyAlignment="1">
      <alignment horizontal="left"/>
    </xf>
    <xf numFmtId="49" fontId="29" fillId="0" borderId="14" xfId="436" applyNumberFormat="1" applyFont="1" applyFill="1" applyBorder="1" applyAlignment="1">
      <alignment horizontal="left"/>
    </xf>
    <xf numFmtId="41" fontId="87" fillId="0" borderId="0" xfId="1" applyFont="1" applyFill="1" applyBorder="1" applyAlignment="1"/>
    <xf numFmtId="41" fontId="0" fillId="0" borderId="11" xfId="1" applyFont="1" applyFill="1" applyBorder="1"/>
    <xf numFmtId="41" fontId="28" fillId="0" borderId="0" xfId="1" applyFont="1" applyFill="1" applyAlignment="1">
      <alignment vertical="center"/>
    </xf>
    <xf numFmtId="41" fontId="0" fillId="0" borderId="0" xfId="1" applyFont="1"/>
    <xf numFmtId="37" fontId="18" fillId="0" borderId="0" xfId="2" applyAlignment="1">
      <alignment horizontal="left" vertical="top"/>
    </xf>
    <xf numFmtId="0" fontId="28" fillId="0" borderId="0" xfId="9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8" fillId="0" borderId="0" xfId="9" applyFont="1" applyFill="1" applyAlignment="1">
      <alignment horizontal="left" vertical="top"/>
    </xf>
    <xf numFmtId="37" fontId="18" fillId="0" borderId="0" xfId="414" applyAlignment="1">
      <alignment horizontal="left" vertical="top"/>
    </xf>
    <xf numFmtId="0" fontId="0" fillId="0" borderId="0" xfId="0" applyFill="1" applyBorder="1"/>
    <xf numFmtId="41" fontId="64" fillId="0" borderId="0" xfId="1" applyFont="1" applyAlignment="1">
      <alignment horizontal="right"/>
    </xf>
    <xf numFmtId="41" fontId="64" fillId="0" borderId="0" xfId="1" applyFont="1"/>
    <xf numFmtId="41" fontId="64" fillId="0" borderId="13" xfId="1" applyFont="1" applyBorder="1" applyAlignment="1">
      <alignment horizontal="right"/>
    </xf>
    <xf numFmtId="41" fontId="64" fillId="0" borderId="13" xfId="1" applyFont="1" applyBorder="1"/>
    <xf numFmtId="41" fontId="0" fillId="0" borderId="13" xfId="1" applyFont="1" applyBorder="1"/>
    <xf numFmtId="41" fontId="64" fillId="0" borderId="0" xfId="86" applyFont="1" applyFill="1"/>
    <xf numFmtId="41" fontId="64" fillId="0" borderId="13" xfId="86" applyFont="1" applyFill="1" applyBorder="1"/>
    <xf numFmtId="41" fontId="0" fillId="0" borderId="0" xfId="0" applyNumberFormat="1" applyFill="1"/>
    <xf numFmtId="37" fontId="64" fillId="0" borderId="0" xfId="383" applyNumberFormat="1" applyFont="1" applyFill="1" applyAlignment="1">
      <alignment horizontal="right"/>
    </xf>
    <xf numFmtId="0" fontId="28" fillId="0" borderId="0" xfId="383" applyFill="1"/>
    <xf numFmtId="49" fontId="29" fillId="0" borderId="37" xfId="436" applyNumberFormat="1" applyFont="1" applyFill="1" applyBorder="1" applyAlignment="1">
      <alignment horizontal="left"/>
    </xf>
    <xf numFmtId="41" fontId="0" fillId="0" borderId="37" xfId="1" applyFont="1" applyFill="1" applyBorder="1"/>
    <xf numFmtId="49" fontId="28" fillId="0" borderId="11" xfId="436" applyNumberFormat="1" applyFont="1" applyFill="1" applyBorder="1" applyAlignment="1">
      <alignment horizontal="left"/>
    </xf>
    <xf numFmtId="41" fontId="28" fillId="0" borderId="11" xfId="1" applyFont="1" applyFill="1" applyBorder="1" applyAlignment="1">
      <alignment horizontal="left"/>
    </xf>
    <xf numFmtId="41" fontId="28" fillId="0" borderId="0" xfId="1" applyFont="1" applyFill="1" applyBorder="1" applyAlignment="1">
      <alignment horizontal="left"/>
    </xf>
    <xf numFmtId="49" fontId="28" fillId="0" borderId="14" xfId="436" applyNumberFormat="1" applyFont="1" applyFill="1" applyBorder="1" applyAlignment="1">
      <alignment horizontal="left"/>
    </xf>
    <xf numFmtId="41" fontId="16" fillId="0" borderId="14" xfId="0" applyNumberFormat="1" applyFont="1" applyBorder="1"/>
    <xf numFmtId="41" fontId="64" fillId="0" borderId="0" xfId="1" applyFont="1" applyFill="1"/>
    <xf numFmtId="0" fontId="0" fillId="0" borderId="0" xfId="0" applyFill="1" applyAlignment="1">
      <alignment horizontal="left" vertical="top"/>
    </xf>
    <xf numFmtId="41" fontId="64" fillId="0" borderId="0" xfId="1" applyFont="1" applyFill="1" applyAlignment="1">
      <alignment horizontal="right"/>
    </xf>
    <xf numFmtId="169" fontId="0" fillId="0" borderId="0" xfId="447" applyNumberFormat="1" applyFont="1"/>
    <xf numFmtId="169" fontId="0" fillId="0" borderId="0" xfId="447" applyNumberFormat="1" applyFont="1" applyFill="1"/>
    <xf numFmtId="169" fontId="0" fillId="0" borderId="0" xfId="447" applyNumberFormat="1" applyFont="1" applyBorder="1"/>
    <xf numFmtId="41" fontId="64" fillId="0" borderId="0" xfId="652" quotePrefix="1" applyNumberFormat="1" applyFont="1" applyFill="1" applyBorder="1"/>
    <xf numFmtId="169" fontId="0" fillId="0" borderId="13" xfId="447" applyNumberFormat="1" applyFont="1" applyBorder="1"/>
    <xf numFmtId="0" fontId="103" fillId="0" borderId="0" xfId="0" applyFont="1"/>
    <xf numFmtId="169" fontId="0" fillId="0" borderId="0" xfId="0" applyNumberFormat="1"/>
    <xf numFmtId="37" fontId="64" fillId="0" borderId="0" xfId="342" applyNumberFormat="1" applyFont="1" applyBorder="1" applyAlignment="1">
      <alignment horizontal="right"/>
    </xf>
    <xf numFmtId="41" fontId="64" fillId="0" borderId="0" xfId="86" applyFont="1" applyBorder="1"/>
    <xf numFmtId="37" fontId="64" fillId="0" borderId="0" xfId="383" applyNumberFormat="1" applyFont="1" applyBorder="1" applyAlignment="1">
      <alignment horizontal="right"/>
    </xf>
    <xf numFmtId="41" fontId="64" fillId="0" borderId="0" xfId="86" applyFont="1" applyFill="1" applyBorder="1"/>
    <xf numFmtId="169" fontId="103" fillId="0" borderId="13" xfId="0" applyNumberFormat="1" applyFont="1" applyBorder="1"/>
    <xf numFmtId="41" fontId="0" fillId="0" borderId="13" xfId="1" applyFont="1" applyFill="1" applyBorder="1"/>
    <xf numFmtId="169" fontId="0" fillId="0" borderId="13" xfId="447" applyNumberFormat="1" applyFont="1" applyFill="1" applyBorder="1"/>
  </cellXfs>
  <cellStyles count="842">
    <cellStyle name="20% - Accent1 2" xfId="25"/>
    <cellStyle name="20% - Accent1 2 2" xfId="448"/>
    <cellStyle name="20% - Accent1 2 3" xfId="449"/>
    <cellStyle name="20% - Accent1 2_10-1 BS" xfId="450"/>
    <cellStyle name="20% - Accent1 3" xfId="26"/>
    <cellStyle name="20% - Accent1 4" xfId="451"/>
    <cellStyle name="20% - Accent1 5" xfId="452"/>
    <cellStyle name="20% - Accent2 2" xfId="23"/>
    <cellStyle name="20% - Accent2 2 2" xfId="453"/>
    <cellStyle name="20% - Accent2 2 3" xfId="454"/>
    <cellStyle name="20% - Accent2 2_10-1 BS" xfId="455"/>
    <cellStyle name="20% - Accent2 3" xfId="24"/>
    <cellStyle name="20% - Accent2 4" xfId="456"/>
    <cellStyle name="20% - Accent2 5" xfId="457"/>
    <cellStyle name="20% - Accent3 2" xfId="21"/>
    <cellStyle name="20% - Accent3 2 2" xfId="458"/>
    <cellStyle name="20% - Accent3 2 3" xfId="459"/>
    <cellStyle name="20% - Accent3 2_10-1 BS" xfId="460"/>
    <cellStyle name="20% - Accent3 3" xfId="22"/>
    <cellStyle name="20% - Accent3 4" xfId="461"/>
    <cellStyle name="20% - Accent3 5" xfId="462"/>
    <cellStyle name="20% - Accent4 2" xfId="19"/>
    <cellStyle name="20% - Accent4 2 2" xfId="463"/>
    <cellStyle name="20% - Accent4 2 3" xfId="464"/>
    <cellStyle name="20% - Accent4 2_10-1 BS" xfId="465"/>
    <cellStyle name="20% - Accent4 3" xfId="20"/>
    <cellStyle name="20% - Accent4 4" xfId="466"/>
    <cellStyle name="20% - Accent4 5" xfId="467"/>
    <cellStyle name="20% - Accent5 2" xfId="17"/>
    <cellStyle name="20% - Accent5 2 2" xfId="468"/>
    <cellStyle name="20% - Accent5 2_10-1 BS" xfId="469"/>
    <cellStyle name="20% - Accent5 3" xfId="18"/>
    <cellStyle name="20% - Accent5 4" xfId="470"/>
    <cellStyle name="20% - Accent5 5" xfId="471"/>
    <cellStyle name="20% - Accent6 2" xfId="29"/>
    <cellStyle name="20% - Accent6 2 2" xfId="472"/>
    <cellStyle name="20% - Accent6 2 3" xfId="473"/>
    <cellStyle name="20% - Accent6 2_10-1 BS" xfId="474"/>
    <cellStyle name="20% - Accent6 3" xfId="28"/>
    <cellStyle name="20% - Accent6 4" xfId="475"/>
    <cellStyle name="20% - Accent6 5" xfId="476"/>
    <cellStyle name="40% - Accent1 2" xfId="31"/>
    <cellStyle name="40% - Accent1 2 2" xfId="477"/>
    <cellStyle name="40% - Accent1 2 3" xfId="478"/>
    <cellStyle name="40% - Accent1 2_10-1 BS" xfId="479"/>
    <cellStyle name="40% - Accent1 3" xfId="30"/>
    <cellStyle name="40% - Accent1 4" xfId="480"/>
    <cellStyle name="40% - Accent1 5" xfId="481"/>
    <cellStyle name="40% - Accent2 2" xfId="33"/>
    <cellStyle name="40% - Accent2 2 2" xfId="482"/>
    <cellStyle name="40% - Accent2 2_10-1 BS" xfId="483"/>
    <cellStyle name="40% - Accent2 3" xfId="32"/>
    <cellStyle name="40% - Accent2 4" xfId="484"/>
    <cellStyle name="40% - Accent2 5" xfId="485"/>
    <cellStyle name="40% - Accent3 2" xfId="35"/>
    <cellStyle name="40% - Accent3 2 2" xfId="486"/>
    <cellStyle name="40% - Accent3 2 3" xfId="487"/>
    <cellStyle name="40% - Accent3 2_10-1 BS" xfId="488"/>
    <cellStyle name="40% - Accent3 3" xfId="34"/>
    <cellStyle name="40% - Accent3 4" xfId="489"/>
    <cellStyle name="40% - Accent3 5" xfId="490"/>
    <cellStyle name="40% - Accent4 2" xfId="37"/>
    <cellStyle name="40% - Accent4 2 2" xfId="491"/>
    <cellStyle name="40% - Accent4 2 3" xfId="492"/>
    <cellStyle name="40% - Accent4 2_10-1 BS" xfId="493"/>
    <cellStyle name="40% - Accent4 3" xfId="36"/>
    <cellStyle name="40% - Accent4 4" xfId="494"/>
    <cellStyle name="40% - Accent4 5" xfId="495"/>
    <cellStyle name="40% - Accent5 2" xfId="39"/>
    <cellStyle name="40% - Accent5 2 2" xfId="496"/>
    <cellStyle name="40% - Accent5 2 3" xfId="497"/>
    <cellStyle name="40% - Accent5 2_10-1 BS" xfId="498"/>
    <cellStyle name="40% - Accent5 3" xfId="38"/>
    <cellStyle name="40% - Accent5 4" xfId="499"/>
    <cellStyle name="40% - Accent5 5" xfId="500"/>
    <cellStyle name="40% - Accent6 2" xfId="41"/>
    <cellStyle name="40% - Accent6 2 2" xfId="501"/>
    <cellStyle name="40% - Accent6 2 3" xfId="502"/>
    <cellStyle name="40% - Accent6 2_10-1 BS" xfId="503"/>
    <cellStyle name="40% - Accent6 3" xfId="40"/>
    <cellStyle name="40% - Accent6 4" xfId="504"/>
    <cellStyle name="40% - Accent6 5" xfId="505"/>
    <cellStyle name="60% - Accent1 2" xfId="43"/>
    <cellStyle name="60% - Accent1 2 2" xfId="506"/>
    <cellStyle name="60% - Accent1 2_10-1 BS" xfId="507"/>
    <cellStyle name="60% - Accent1 3" xfId="42"/>
    <cellStyle name="60% - Accent1 4" xfId="508"/>
    <cellStyle name="60% - Accent1 5" xfId="509"/>
    <cellStyle name="60% - Accent2 2" xfId="45"/>
    <cellStyle name="60% - Accent2 2 2" xfId="510"/>
    <cellStyle name="60% - Accent2 2_10-1 BS" xfId="511"/>
    <cellStyle name="60% - Accent2 3" xfId="44"/>
    <cellStyle name="60% - Accent2 4" xfId="512"/>
    <cellStyle name="60% - Accent2 5" xfId="513"/>
    <cellStyle name="60% - Accent3 2" xfId="47"/>
    <cellStyle name="60% - Accent3 2 2" xfId="514"/>
    <cellStyle name="60% - Accent3 2_10-1 BS" xfId="515"/>
    <cellStyle name="60% - Accent3 3" xfId="46"/>
    <cellStyle name="60% - Accent3 4" xfId="516"/>
    <cellStyle name="60% - Accent3 5" xfId="517"/>
    <cellStyle name="60% - Accent4 2" xfId="49"/>
    <cellStyle name="60% - Accent4 2 2" xfId="518"/>
    <cellStyle name="60% - Accent4 2_10-1 BS" xfId="519"/>
    <cellStyle name="60% - Accent4 3" xfId="48"/>
    <cellStyle name="60% - Accent4 4" xfId="520"/>
    <cellStyle name="60% - Accent4 5" xfId="521"/>
    <cellStyle name="60% - Accent5 2" xfId="51"/>
    <cellStyle name="60% - Accent5 2 2" xfId="522"/>
    <cellStyle name="60% - Accent5 2_10-1 BS" xfId="523"/>
    <cellStyle name="60% - Accent5 3" xfId="50"/>
    <cellStyle name="60% - Accent5 4" xfId="524"/>
    <cellStyle name="60% - Accent5 5" xfId="525"/>
    <cellStyle name="60% - Accent6 2" xfId="53"/>
    <cellStyle name="60% - Accent6 2 2" xfId="526"/>
    <cellStyle name="60% - Accent6 2_10-1 BS" xfId="527"/>
    <cellStyle name="60% - Accent6 3" xfId="52"/>
    <cellStyle name="60% - Accent6 4" xfId="528"/>
    <cellStyle name="60% - Accent6 5" xfId="529"/>
    <cellStyle name="Accent1 2" xfId="55"/>
    <cellStyle name="Accent1 2 2" xfId="530"/>
    <cellStyle name="Accent1 2_10-1 BS" xfId="531"/>
    <cellStyle name="Accent1 3" xfId="54"/>
    <cellStyle name="Accent1 4" xfId="532"/>
    <cellStyle name="Accent1 5" xfId="533"/>
    <cellStyle name="Accent2 2" xfId="57"/>
    <cellStyle name="Accent2 2 2" xfId="534"/>
    <cellStyle name="Accent2 2_10-1 BS" xfId="535"/>
    <cellStyle name="Accent2 3" xfId="56"/>
    <cellStyle name="Accent2 4" xfId="536"/>
    <cellStyle name="Accent2 5" xfId="537"/>
    <cellStyle name="Accent3 2" xfId="59"/>
    <cellStyle name="Accent3 2 2" xfId="538"/>
    <cellStyle name="Accent3 2_10-1 BS" xfId="539"/>
    <cellStyle name="Accent3 3" xfId="58"/>
    <cellStyle name="Accent3 4" xfId="540"/>
    <cellStyle name="Accent3 5" xfId="541"/>
    <cellStyle name="Accent4 2" xfId="61"/>
    <cellStyle name="Accent4 2 2" xfId="542"/>
    <cellStyle name="Accent4 2_10-1 BS" xfId="543"/>
    <cellStyle name="Accent4 3" xfId="60"/>
    <cellStyle name="Accent4 4" xfId="544"/>
    <cellStyle name="Accent4 5" xfId="545"/>
    <cellStyle name="Accent5 2" xfId="63"/>
    <cellStyle name="Accent5 3" xfId="62"/>
    <cellStyle name="Accent5 4" xfId="546"/>
    <cellStyle name="Accent5 5" xfId="547"/>
    <cellStyle name="Accent6 2" xfId="65"/>
    <cellStyle name="Accent6 2 2" xfId="548"/>
    <cellStyle name="Accent6 2_10-1 BS" xfId="549"/>
    <cellStyle name="Accent6 3" xfId="64"/>
    <cellStyle name="Accent6 4" xfId="550"/>
    <cellStyle name="Accent6 5" xfId="551"/>
    <cellStyle name="Actual Date" xfId="66"/>
    <cellStyle name="Actual Date 2" xfId="67"/>
    <cellStyle name="Actual Date 2 2" xfId="68"/>
    <cellStyle name="Actual Date_03_2012" xfId="69"/>
    <cellStyle name="Affinity Input" xfId="70"/>
    <cellStyle name="Bad 2" xfId="72"/>
    <cellStyle name="Bad 2 2" xfId="552"/>
    <cellStyle name="Bad 2_10-1 BS" xfId="553"/>
    <cellStyle name="Bad 3" xfId="71"/>
    <cellStyle name="Bad 4" xfId="554"/>
    <cellStyle name="Bad 5" xfId="555"/>
    <cellStyle name="Body" xfId="73"/>
    <cellStyle name="Calculation 2" xfId="75"/>
    <cellStyle name="Calculation 2 2" xfId="556"/>
    <cellStyle name="Calculation 2_10-1 BS" xfId="557"/>
    <cellStyle name="Calculation 3" xfId="74"/>
    <cellStyle name="Calculation 4" xfId="558"/>
    <cellStyle name="Calculation 5" xfId="559"/>
    <cellStyle name="Check Cell 2" xfId="77"/>
    <cellStyle name="Check Cell 3" xfId="76"/>
    <cellStyle name="Check Cell 4" xfId="560"/>
    <cellStyle name="Check Cell 5" xfId="561"/>
    <cellStyle name="ColumnAttributeAbovePrompt" xfId="78"/>
    <cellStyle name="ColumnAttributePrompt" xfId="79"/>
    <cellStyle name="ColumnAttributeValue" xfId="80"/>
    <cellStyle name="ColumnHeadingPrompt" xfId="81"/>
    <cellStyle name="ColumnHeadingValue" xfId="82"/>
    <cellStyle name="Comma" xfId="447" builtinId="3"/>
    <cellStyle name="Comma [0]" xfId="1" builtinId="6"/>
    <cellStyle name="Comma [0] 2" xfId="4"/>
    <cellStyle name="Comma [0] 2 2" xfId="86"/>
    <cellStyle name="Comma [0] 2 2 2" xfId="562"/>
    <cellStyle name="Comma [0] 2 3" xfId="85"/>
    <cellStyle name="Comma [0] 3" xfId="87"/>
    <cellStyle name="Comma [0] 3 2" xfId="88"/>
    <cellStyle name="Comma [0] 4" xfId="89"/>
    <cellStyle name="Comma [0] 5" xfId="84"/>
    <cellStyle name="Comma [0] 6" xfId="326"/>
    <cellStyle name="Comma [0] 7" xfId="563"/>
    <cellStyle name="Comma 10" xfId="90"/>
    <cellStyle name="Comma 10 2" xfId="564"/>
    <cellStyle name="Comma 11" xfId="91"/>
    <cellStyle name="Comma 11 2" xfId="92"/>
    <cellStyle name="Comma 12" xfId="93"/>
    <cellStyle name="Comma 12 2" xfId="94"/>
    <cellStyle name="Comma 13" xfId="95"/>
    <cellStyle name="Comma 13 2" xfId="96"/>
    <cellStyle name="Comma 14" xfId="97"/>
    <cellStyle name="Comma 15" xfId="83"/>
    <cellStyle name="Comma 16" xfId="334"/>
    <cellStyle name="Comma 17" xfId="341"/>
    <cellStyle name="Comma 18" xfId="322"/>
    <cellStyle name="Comma 19" xfId="330"/>
    <cellStyle name="Comma 2" xfId="3"/>
    <cellStyle name="Comma 2 2" xfId="99"/>
    <cellStyle name="Comma 2 2 2" xfId="565"/>
    <cellStyle name="Comma 2 3" xfId="98"/>
    <cellStyle name="Comma 20" xfId="332"/>
    <cellStyle name="Comma 21" xfId="336"/>
    <cellStyle name="Comma 22" xfId="324"/>
    <cellStyle name="Comma 23" xfId="327"/>
    <cellStyle name="Comma 24" xfId="349"/>
    <cellStyle name="Comma 25" xfId="367"/>
    <cellStyle name="Comma 26" xfId="375"/>
    <cellStyle name="Comma 27" xfId="354"/>
    <cellStyle name="Comma 28" xfId="371"/>
    <cellStyle name="Comma 29" xfId="353"/>
    <cellStyle name="Comma 3" xfId="16"/>
    <cellStyle name="Comma 3 2" xfId="100"/>
    <cellStyle name="Comma 3 2 2" xfId="566"/>
    <cellStyle name="Comma 3 3" xfId="567"/>
    <cellStyle name="Comma 30" xfId="385"/>
    <cellStyle name="Comma 31" xfId="380"/>
    <cellStyle name="Comma 32" xfId="373"/>
    <cellStyle name="Comma 33" xfId="382"/>
    <cellStyle name="Comma 34" xfId="360"/>
    <cellStyle name="Comma 35" xfId="358"/>
    <cellStyle name="Comma 36" xfId="352"/>
    <cellStyle name="Comma 37" xfId="347"/>
    <cellStyle name="Comma 38" xfId="387"/>
    <cellStyle name="Comma 39" xfId="359"/>
    <cellStyle name="Comma 4" xfId="101"/>
    <cellStyle name="Comma 4 2" xfId="568"/>
    <cellStyle name="Comma 40" xfId="390"/>
    <cellStyle name="Comma 41" xfId="392"/>
    <cellStyle name="Comma 42" xfId="400"/>
    <cellStyle name="Comma 43" xfId="418"/>
    <cellStyle name="Comma 44" xfId="399"/>
    <cellStyle name="Comma 45" xfId="419"/>
    <cellStyle name="Comma 46" xfId="398"/>
    <cellStyle name="Comma 47" xfId="433"/>
    <cellStyle name="Comma 48" xfId="425"/>
    <cellStyle name="Comma 49" xfId="432"/>
    <cellStyle name="Comma 5" xfId="102"/>
    <cellStyle name="Comma 5 2" xfId="569"/>
    <cellStyle name="Comma 50" xfId="413"/>
    <cellStyle name="Comma 51" xfId="411"/>
    <cellStyle name="Comma 52" xfId="426"/>
    <cellStyle name="Comma 53" xfId="403"/>
    <cellStyle name="Comma 54" xfId="427"/>
    <cellStyle name="Comma 55" xfId="435"/>
    <cellStyle name="Comma 56" xfId="439"/>
    <cellStyle name="Comma 57" xfId="444"/>
    <cellStyle name="Comma 6" xfId="103"/>
    <cellStyle name="Comma 6 2" xfId="570"/>
    <cellStyle name="Comma 7" xfId="104"/>
    <cellStyle name="Comma 7 2" xfId="105"/>
    <cellStyle name="Comma 8" xfId="106"/>
    <cellStyle name="Comma 8 2" xfId="107"/>
    <cellStyle name="Comma 9" xfId="108"/>
    <cellStyle name="Comma 9 2" xfId="109"/>
    <cellStyle name="CommaBlank" xfId="110"/>
    <cellStyle name="ContentsHyperlink" xfId="111"/>
    <cellStyle name="Currency [0] 2" xfId="571"/>
    <cellStyle name="Currency [0] 2 2" xfId="572"/>
    <cellStyle name="Currency [0] 2 2 2" xfId="573"/>
    <cellStyle name="Currency [0] 2 3" xfId="574"/>
    <cellStyle name="Currency [2]" xfId="112"/>
    <cellStyle name="Currency 2" xfId="575"/>
    <cellStyle name="Currency 2 2" xfId="576"/>
    <cellStyle name="Currency 2 2 2" xfId="577"/>
    <cellStyle name="Currency 2 3" xfId="578"/>
    <cellStyle name="Custom - Style1" xfId="113"/>
    <cellStyle name="Data   - Style2" xfId="114"/>
    <cellStyle name="Date" xfId="115"/>
    <cellStyle name="Edit" xfId="116"/>
    <cellStyle name="Edit 2" xfId="579"/>
    <cellStyle name="Edit_ACC02" xfId="580"/>
    <cellStyle name="Engine" xfId="117"/>
    <cellStyle name="Engine 2" xfId="118"/>
    <cellStyle name="Engine_03_2012" xfId="119"/>
    <cellStyle name="Explanatory Text 2" xfId="121"/>
    <cellStyle name="Explanatory Text 3" xfId="120"/>
    <cellStyle name="Explanatory Text 4" xfId="581"/>
    <cellStyle name="Explanatory Text 5" xfId="582"/>
    <cellStyle name="Fixed" xfId="122"/>
    <cellStyle name="Fixed 2" xfId="123"/>
    <cellStyle name="Fixed 2 2" xfId="124"/>
    <cellStyle name="Fixed 2 2 2" xfId="583"/>
    <cellStyle name="Fixed 2 2_Q3 New Accounts" xfId="584"/>
    <cellStyle name="Fixed 2 3" xfId="125"/>
    <cellStyle name="Fixed 2_New Accts FY13" xfId="585"/>
    <cellStyle name="Fixed 3" xfId="126"/>
    <cellStyle name="Fixed 3 2" xfId="127"/>
    <cellStyle name="Fixed 3_ACC02" xfId="586"/>
    <cellStyle name="Fixed 4" xfId="128"/>
    <cellStyle name="Fixed 4 2" xfId="587"/>
    <cellStyle name="Fixed 4_ACC02" xfId="588"/>
    <cellStyle name="Fixed_03_2012" xfId="129"/>
    <cellStyle name="Good 2" xfId="131"/>
    <cellStyle name="Good 2 2" xfId="589"/>
    <cellStyle name="Good 2_10-1 BS" xfId="590"/>
    <cellStyle name="Good 3" xfId="130"/>
    <cellStyle name="Good 4" xfId="591"/>
    <cellStyle name="Good 5" xfId="592"/>
    <cellStyle name="Grey" xfId="132"/>
    <cellStyle name="Grey 2" xfId="593"/>
    <cellStyle name="Grey_ACC02" xfId="594"/>
    <cellStyle name="HEADER" xfId="133"/>
    <cellStyle name="Header1" xfId="5"/>
    <cellStyle name="Header2" xfId="6"/>
    <cellStyle name="heading" xfId="135"/>
    <cellStyle name="Heading 1 2" xfId="137"/>
    <cellStyle name="Heading 1 2 2" xfId="595"/>
    <cellStyle name="Heading 1 2_10-1 BS" xfId="596"/>
    <cellStyle name="Heading 1 3" xfId="136"/>
    <cellStyle name="Heading 1 4" xfId="597"/>
    <cellStyle name="Heading 1 5" xfId="598"/>
    <cellStyle name="Heading 2 2" xfId="139"/>
    <cellStyle name="Heading 2 2 2" xfId="599"/>
    <cellStyle name="Heading 2 2_10-1 BS" xfId="600"/>
    <cellStyle name="Heading 2 3" xfId="138"/>
    <cellStyle name="Heading 2 4" xfId="601"/>
    <cellStyle name="Heading 2 5" xfId="602"/>
    <cellStyle name="Heading 3 2" xfId="141"/>
    <cellStyle name="Heading 3 2 2" xfId="603"/>
    <cellStyle name="Heading 3 2_10-1 BS" xfId="604"/>
    <cellStyle name="Heading 3 3" xfId="140"/>
    <cellStyle name="Heading 3 4" xfId="605"/>
    <cellStyle name="Heading 3 5" xfId="606"/>
    <cellStyle name="Heading 4 2" xfId="143"/>
    <cellStyle name="Heading 4 2 2" xfId="607"/>
    <cellStyle name="Heading 4 2_10-1 BS" xfId="608"/>
    <cellStyle name="Heading 4 3" xfId="142"/>
    <cellStyle name="Heading 4 4" xfId="609"/>
    <cellStyle name="Heading 4 5" xfId="610"/>
    <cellStyle name="heading 5" xfId="144"/>
    <cellStyle name="Heading1" xfId="145"/>
    <cellStyle name="Heading1 2" xfId="146"/>
    <cellStyle name="Heading1 2 2" xfId="147"/>
    <cellStyle name="Heading1 2 2 2" xfId="611"/>
    <cellStyle name="Heading1 2 2_Q3 New Accounts" xfId="612"/>
    <cellStyle name="Heading1 2 3" xfId="148"/>
    <cellStyle name="Heading1 2_New Accts FY13" xfId="613"/>
    <cellStyle name="Heading1 3" xfId="149"/>
    <cellStyle name="Heading1 3 2" xfId="150"/>
    <cellStyle name="Heading1 3_ACC02" xfId="614"/>
    <cellStyle name="Heading1 4" xfId="151"/>
    <cellStyle name="Heading1 4 2" xfId="615"/>
    <cellStyle name="Heading1 4_ACC02" xfId="616"/>
    <cellStyle name="Heading1_03_2012" xfId="152"/>
    <cellStyle name="Heading2" xfId="153"/>
    <cellStyle name="Heading2 2" xfId="154"/>
    <cellStyle name="Heading2 2 2" xfId="155"/>
    <cellStyle name="Heading2 2 2 2" xfId="617"/>
    <cellStyle name="Heading2 2 2_Q3 New Accounts" xfId="618"/>
    <cellStyle name="Heading2 2 3" xfId="156"/>
    <cellStyle name="Heading2 2_New Accts FY13" xfId="619"/>
    <cellStyle name="Heading2 3" xfId="157"/>
    <cellStyle name="Heading2 3 2" xfId="158"/>
    <cellStyle name="Heading2 3_ACC02" xfId="620"/>
    <cellStyle name="Heading2 4" xfId="159"/>
    <cellStyle name="Heading2 4 2" xfId="621"/>
    <cellStyle name="Heading2 4_ACC02" xfId="622"/>
    <cellStyle name="Heading2_03_2012" xfId="160"/>
    <cellStyle name="HIGHLIGHT" xfId="161"/>
    <cellStyle name="Input [yellow]" xfId="163"/>
    <cellStyle name="Input [yellow] 2" xfId="623"/>
    <cellStyle name="Input [yellow]_ACC02" xfId="624"/>
    <cellStyle name="Input 10" xfId="363"/>
    <cellStyle name="Input 11" xfId="407"/>
    <cellStyle name="Input 12" xfId="409"/>
    <cellStyle name="Input 12 2" xfId="625"/>
    <cellStyle name="Input 12_Essbase" xfId="626"/>
    <cellStyle name="Input 13" xfId="406"/>
    <cellStyle name="Input 14" xfId="410"/>
    <cellStyle name="Input 15" xfId="405"/>
    <cellStyle name="Input 16" xfId="441"/>
    <cellStyle name="Input 17" xfId="442"/>
    <cellStyle name="Input 18" xfId="627"/>
    <cellStyle name="Input 19" xfId="628"/>
    <cellStyle name="Input 2" xfId="164"/>
    <cellStyle name="Input 2 2" xfId="629"/>
    <cellStyle name="Input 2_10-1 BS" xfId="630"/>
    <cellStyle name="Input 20" xfId="631"/>
    <cellStyle name="Input 21" xfId="632"/>
    <cellStyle name="Input 22" xfId="633"/>
    <cellStyle name="Input 23" xfId="634"/>
    <cellStyle name="Input 24" xfId="635"/>
    <cellStyle name="Input 25" xfId="636"/>
    <cellStyle name="Input 26" xfId="637"/>
    <cellStyle name="Input 27" xfId="638"/>
    <cellStyle name="Input 28" xfId="639"/>
    <cellStyle name="Input 3" xfId="162"/>
    <cellStyle name="Input 3 2" xfId="640"/>
    <cellStyle name="Input 3_10-1 BS" xfId="641"/>
    <cellStyle name="Input 4" xfId="338"/>
    <cellStyle name="Input 5" xfId="339"/>
    <cellStyle name="Input 6" xfId="356"/>
    <cellStyle name="Input 7" xfId="362"/>
    <cellStyle name="Input 8" xfId="364"/>
    <cellStyle name="Input 9" xfId="365"/>
    <cellStyle name="ITALIC - Style2" xfId="165"/>
    <cellStyle name="kirkdollars" xfId="166"/>
    <cellStyle name="Labels - Style3" xfId="167"/>
    <cellStyle name="Large Page Heading" xfId="168"/>
    <cellStyle name="LineItemPrompt" xfId="169"/>
    <cellStyle name="LineItemValue" xfId="170"/>
    <cellStyle name="Lines" xfId="171"/>
    <cellStyle name="Linked Cell 2" xfId="173"/>
    <cellStyle name="Linked Cell 2 2" xfId="642"/>
    <cellStyle name="Linked Cell 2_10-1 BS" xfId="643"/>
    <cellStyle name="Linked Cell 3" xfId="172"/>
    <cellStyle name="Linked Cell 4" xfId="644"/>
    <cellStyle name="Linked Cell 5" xfId="645"/>
    <cellStyle name="Neutral 2" xfId="175"/>
    <cellStyle name="Neutral 2 2" xfId="646"/>
    <cellStyle name="Neutral 2_10-1 BS" xfId="647"/>
    <cellStyle name="Neutral 3" xfId="174"/>
    <cellStyle name="Neutral 4" xfId="648"/>
    <cellStyle name="Neutral 5" xfId="649"/>
    <cellStyle name="no dec" xfId="176"/>
    <cellStyle name="No Edit" xfId="177"/>
    <cellStyle name="No Edit 2" xfId="650"/>
    <cellStyle name="No Edit_ACC02" xfId="651"/>
    <cellStyle name="Normal" xfId="0" builtinId="0"/>
    <cellStyle name="Normal - Style1" xfId="7"/>
    <cellStyle name="Normal - Style2" xfId="178"/>
    <cellStyle name="Normal - Style3" xfId="179"/>
    <cellStyle name="Normal - Style4" xfId="180"/>
    <cellStyle name="Normal - Style5" xfId="181"/>
    <cellStyle name="Normal - Style6" xfId="182"/>
    <cellStyle name="Normal - Style7" xfId="183"/>
    <cellStyle name="Normal - Style8" xfId="184"/>
    <cellStyle name="Normal 10" xfId="185"/>
    <cellStyle name="Normal 10 2" xfId="186"/>
    <cellStyle name="Normal 10_Q3 New Accounts" xfId="653"/>
    <cellStyle name="Normal 11" xfId="187"/>
    <cellStyle name="Normal 11 2" xfId="188"/>
    <cellStyle name="Normal 11_Q3 New Accounts" xfId="654"/>
    <cellStyle name="Normal 12" xfId="189"/>
    <cellStyle name="Normal 12 2" xfId="655"/>
    <cellStyle name="Normal 12_Q3 New Accounts" xfId="656"/>
    <cellStyle name="Normal 13" xfId="190"/>
    <cellStyle name="Normal 13 2" xfId="657"/>
    <cellStyle name="Normal 13_Q3 New Accounts" xfId="658"/>
    <cellStyle name="Normal 14" xfId="191"/>
    <cellStyle name="Normal 14 2" xfId="659"/>
    <cellStyle name="Normal 14_Q3 New Accounts" xfId="660"/>
    <cellStyle name="Normal 15" xfId="192"/>
    <cellStyle name="Normal 15 2" xfId="661"/>
    <cellStyle name="Normal 15_Essbase" xfId="662"/>
    <cellStyle name="Normal 16" xfId="193"/>
    <cellStyle name="Normal 16 2" xfId="663"/>
    <cellStyle name="Normal 16_Q3 New Accounts" xfId="664"/>
    <cellStyle name="Normal 17" xfId="194"/>
    <cellStyle name="Normal 17 2" xfId="665"/>
    <cellStyle name="Normal 17_Q3 New Accounts" xfId="666"/>
    <cellStyle name="Normal 18" xfId="195"/>
    <cellStyle name="Normal 18 2" xfId="667"/>
    <cellStyle name="Normal 18_Q3 New Accounts" xfId="668"/>
    <cellStyle name="Normal 19" xfId="196"/>
    <cellStyle name="Normal 19 2" xfId="669"/>
    <cellStyle name="Normal 19 3" xfId="670"/>
    <cellStyle name="Normal 19_Essbase" xfId="671"/>
    <cellStyle name="Normal 2" xfId="2"/>
    <cellStyle name="Normal 2 2" xfId="198"/>
    <cellStyle name="Normal 2 3" xfId="199"/>
    <cellStyle name="Normal 2 3 2" xfId="672"/>
    <cellStyle name="Normal 2 3_Q3 New Accounts" xfId="673"/>
    <cellStyle name="Normal 2 4" xfId="197"/>
    <cellStyle name="Normal 2_10-1 BS" xfId="674"/>
    <cellStyle name="Normal 20" xfId="200"/>
    <cellStyle name="Normal 20 2" xfId="675"/>
    <cellStyle name="Normal 20_Q3 New Accounts" xfId="676"/>
    <cellStyle name="Normal 21" xfId="201"/>
    <cellStyle name="Normal 21 2" xfId="677"/>
    <cellStyle name="Normal 21 3" xfId="678"/>
    <cellStyle name="Normal 21_Essbase" xfId="679"/>
    <cellStyle name="Normal 22" xfId="202"/>
    <cellStyle name="Normal 22 2" xfId="680"/>
    <cellStyle name="Normal 22 3" xfId="681"/>
    <cellStyle name="Normal 22_Essbase" xfId="682"/>
    <cellStyle name="Normal 23" xfId="203"/>
    <cellStyle name="Normal 23 2" xfId="683"/>
    <cellStyle name="Normal 23 3" xfId="684"/>
    <cellStyle name="Normal 23_Essbase" xfId="685"/>
    <cellStyle name="Normal 24" xfId="204"/>
    <cellStyle name="Normal 24 2" xfId="686"/>
    <cellStyle name="Normal 24 3" xfId="687"/>
    <cellStyle name="Normal 24_Essbase" xfId="688"/>
    <cellStyle name="Normal 25" xfId="205"/>
    <cellStyle name="Normal 25 2" xfId="689"/>
    <cellStyle name="Normal 25_ACC02" xfId="690"/>
    <cellStyle name="Normal 26" xfId="27"/>
    <cellStyle name="Normal 26 2" xfId="691"/>
    <cellStyle name="Normal 26 3" xfId="692"/>
    <cellStyle name="Normal 26_Essbase" xfId="693"/>
    <cellStyle name="Normal 27" xfId="238"/>
    <cellStyle name="Normal 27 2" xfId="694"/>
    <cellStyle name="Normal 27_Q3 New Accounts" xfId="695"/>
    <cellStyle name="Normal 28" xfId="345"/>
    <cellStyle name="Normal 28 2" xfId="696"/>
    <cellStyle name="Normal 28 3" xfId="697"/>
    <cellStyle name="Normal 28_Essbase" xfId="698"/>
    <cellStyle name="Normal 29" xfId="134"/>
    <cellStyle name="Normal 29 2" xfId="699"/>
    <cellStyle name="Normal 29 3" xfId="700"/>
    <cellStyle name="Normal 29_Essbase" xfId="701"/>
    <cellStyle name="Normal 3" xfId="15"/>
    <cellStyle name="Normal 3 2" xfId="207"/>
    <cellStyle name="Normal 3 2 2" xfId="702"/>
    <cellStyle name="Normal 3 2 2 2" xfId="703"/>
    <cellStyle name="Normal 3 2 2_Q3 New Accounts" xfId="704"/>
    <cellStyle name="Normal 3 2 3" xfId="705"/>
    <cellStyle name="Normal 3 2_10-1 BS" xfId="706"/>
    <cellStyle name="Normal 3 3" xfId="206"/>
    <cellStyle name="Normal 3 3 2" xfId="707"/>
    <cellStyle name="Normal 3 3_Q3 New Accounts" xfId="708"/>
    <cellStyle name="Normal 3 4" xfId="709"/>
    <cellStyle name="Normal 3_10-1 BS" xfId="710"/>
    <cellStyle name="Normal 30" xfId="331"/>
    <cellStyle name="Normal 30 2" xfId="711"/>
    <cellStyle name="Normal 30 3" xfId="712"/>
    <cellStyle name="Normal 30_Essbase" xfId="713"/>
    <cellStyle name="Normal 31" xfId="333"/>
    <cellStyle name="Normal 31 2" xfId="714"/>
    <cellStyle name="Normal 31 3" xfId="715"/>
    <cellStyle name="Normal 31_Essbase" xfId="716"/>
    <cellStyle name="Normal 32" xfId="337"/>
    <cellStyle name="Normal 32 2" xfId="717"/>
    <cellStyle name="Normal 32 3" xfId="718"/>
    <cellStyle name="Normal 32_Essbase" xfId="719"/>
    <cellStyle name="Normal 33" xfId="323"/>
    <cellStyle name="Normal 33 2" xfId="720"/>
    <cellStyle name="Normal 33 3" xfId="721"/>
    <cellStyle name="Normal 33_Essbase" xfId="722"/>
    <cellStyle name="Normal 34" xfId="328"/>
    <cellStyle name="Normal 34 2" xfId="723"/>
    <cellStyle name="Normal 34 3" xfId="724"/>
    <cellStyle name="Normal 34_Essbase" xfId="725"/>
    <cellStyle name="Normal 35" xfId="342"/>
    <cellStyle name="Normal 35 2" xfId="726"/>
    <cellStyle name="Normal 35 3" xfId="727"/>
    <cellStyle name="Normal 35_Essbase" xfId="728"/>
    <cellStyle name="Normal 36" xfId="374"/>
    <cellStyle name="Normal 36 2" xfId="729"/>
    <cellStyle name="Normal 36_Essbase" xfId="730"/>
    <cellStyle name="Normal 37" xfId="376"/>
    <cellStyle name="Normal 38" xfId="325"/>
    <cellStyle name="Normal 38 2" xfId="731"/>
    <cellStyle name="Normal 38_Essbase" xfId="732"/>
    <cellStyle name="Normal 39" xfId="383"/>
    <cellStyle name="Normal 4" xfId="208"/>
    <cellStyle name="Normal 4 2" xfId="209"/>
    <cellStyle name="Normal 4 2 2" xfId="733"/>
    <cellStyle name="Normal 4 2 2 2" xfId="734"/>
    <cellStyle name="Normal 4 2 2_Q3 New Accounts" xfId="735"/>
    <cellStyle name="Normal 4 2 3" xfId="736"/>
    <cellStyle name="Normal 4 2_10-1 BS" xfId="737"/>
    <cellStyle name="Normal 4 3" xfId="738"/>
    <cellStyle name="Normal 4 3 2" xfId="739"/>
    <cellStyle name="Normal 4 3_Q3 New Accounts" xfId="740"/>
    <cellStyle name="Normal 4 4" xfId="741"/>
    <cellStyle name="Normal 4_10-1 BS" xfId="742"/>
    <cellStyle name="Normal 40" xfId="384"/>
    <cellStyle name="Normal 41" xfId="386"/>
    <cellStyle name="Normal 42" xfId="379"/>
    <cellStyle name="Normal 43" xfId="372"/>
    <cellStyle name="Normal 44" xfId="381"/>
    <cellStyle name="Normal 45" xfId="361"/>
    <cellStyle name="Normal 46" xfId="357"/>
    <cellStyle name="Normal 47" xfId="351"/>
    <cellStyle name="Normal 48" xfId="346"/>
    <cellStyle name="Normal 49" xfId="388"/>
    <cellStyle name="Normal 5" xfId="210"/>
    <cellStyle name="Normal 5 2" xfId="211"/>
    <cellStyle name="Normal 5 3" xfId="743"/>
    <cellStyle name="Normal 5 3 2" xfId="744"/>
    <cellStyle name="Normal 5 3_Q3 New Accounts" xfId="745"/>
    <cellStyle name="Normal 5 4" xfId="746"/>
    <cellStyle name="Normal 5_10-1 BS" xfId="747"/>
    <cellStyle name="Normal 50" xfId="389"/>
    <cellStyle name="Normal 51" xfId="391"/>
    <cellStyle name="Normal 52" xfId="393"/>
    <cellStyle name="Normal 53" xfId="394"/>
    <cellStyle name="Normal 54" xfId="428"/>
    <cellStyle name="Normal 55" xfId="429"/>
    <cellStyle name="Normal 56" xfId="430"/>
    <cellStyle name="Normal 57" xfId="431"/>
    <cellStyle name="Normal 58" xfId="434"/>
    <cellStyle name="Normal 59" xfId="424"/>
    <cellStyle name="Normal 6" xfId="212"/>
    <cellStyle name="Normal 6 2" xfId="213"/>
    <cellStyle name="Normal 6 3" xfId="748"/>
    <cellStyle name="Normal 6 3 2" xfId="749"/>
    <cellStyle name="Normal 6 3_Q3 New Accounts" xfId="750"/>
    <cellStyle name="Normal 6 4" xfId="751"/>
    <cellStyle name="Normal 6_10-1 BS" xfId="752"/>
    <cellStyle name="Normal 60" xfId="420"/>
    <cellStyle name="Normal 61" xfId="412"/>
    <cellStyle name="Normal 62" xfId="408"/>
    <cellStyle name="Normal 63" xfId="414"/>
    <cellStyle name="Normal 64" xfId="401"/>
    <cellStyle name="Normal 65" xfId="397"/>
    <cellStyle name="Normal 66" xfId="436"/>
    <cellStyle name="Normal 67" xfId="437"/>
    <cellStyle name="Normal 68" xfId="446"/>
    <cellStyle name="Normal 69" xfId="841"/>
    <cellStyle name="Normal 7" xfId="214"/>
    <cellStyle name="Normal 7 2" xfId="215"/>
    <cellStyle name="Normal 7 3" xfId="753"/>
    <cellStyle name="Normal 7 3 2" xfId="754"/>
    <cellStyle name="Normal 7 3_Q3 New Accounts" xfId="755"/>
    <cellStyle name="Normal 7 4" xfId="756"/>
    <cellStyle name="Normal 7_10-1 BS" xfId="757"/>
    <cellStyle name="Normal 75" xfId="216"/>
    <cellStyle name="Normal 8" xfId="217"/>
    <cellStyle name="Normal 8 2" xfId="218"/>
    <cellStyle name="Normal 8 3" xfId="758"/>
    <cellStyle name="Normal 8 3 2" xfId="759"/>
    <cellStyle name="Normal 8 3_Q3 New Accounts" xfId="760"/>
    <cellStyle name="Normal 8 4" xfId="761"/>
    <cellStyle name="Normal 8_10-1 BS" xfId="762"/>
    <cellStyle name="Normal 9" xfId="219"/>
    <cellStyle name="Normal 9 2" xfId="220"/>
    <cellStyle name="Normal 9_Q3 New Accounts" xfId="763"/>
    <cellStyle name="Normal_KY Def Pool Bal 06-07" xfId="8"/>
    <cellStyle name="Normal_KY Def Tax Pool -Final" xfId="9"/>
    <cellStyle name="Normal_Q47(a) 3 - 4091" xfId="652"/>
    <cellStyle name="Note 2" xfId="222"/>
    <cellStyle name="Note 2 2" xfId="223"/>
    <cellStyle name="Note 2 3" xfId="764"/>
    <cellStyle name="Note 2_ACC12" xfId="765"/>
    <cellStyle name="Note 3" xfId="224"/>
    <cellStyle name="Note 3 2" xfId="225"/>
    <cellStyle name="Note 3 2 2" xfId="767"/>
    <cellStyle name="Note 3 2_Q47(a) 3 - 4091" xfId="766"/>
    <cellStyle name="Note 3 3" xfId="768"/>
    <cellStyle name="Note 4" xfId="221"/>
    <cellStyle name="Note 4 2" xfId="769"/>
    <cellStyle name="Note 4 2 2" xfId="770"/>
    <cellStyle name="Note 4 3" xfId="771"/>
    <cellStyle name="Note 5" xfId="772"/>
    <cellStyle name="Note 5 2" xfId="773"/>
    <cellStyle name="nPlosion" xfId="226"/>
    <cellStyle name="nPlosion 2" xfId="227"/>
    <cellStyle name="nPlosion 3" xfId="228"/>
    <cellStyle name="nvision" xfId="229"/>
    <cellStyle name="Output 2" xfId="231"/>
    <cellStyle name="Output 2 2" xfId="774"/>
    <cellStyle name="Output 2_10-1 BS" xfId="775"/>
    <cellStyle name="Output 3" xfId="230"/>
    <cellStyle name="Output 4" xfId="776"/>
    <cellStyle name="Output 5" xfId="777"/>
    <cellStyle name="Output Amounts" xfId="10"/>
    <cellStyle name="Output Amounts 2" xfId="778"/>
    <cellStyle name="Output Column Headings" xfId="11"/>
    <cellStyle name="Output Column Headings 2" xfId="232"/>
    <cellStyle name="Output Column Headings 3" xfId="233"/>
    <cellStyle name="Output Column Headings 4" xfId="779"/>
    <cellStyle name="Output Column Headings_10-1 BS" xfId="780"/>
    <cellStyle name="Output Line Items" xfId="12"/>
    <cellStyle name="Output Line Items 2" xfId="235"/>
    <cellStyle name="Output Line Items 3" xfId="234"/>
    <cellStyle name="Output Line Items_10-1 BS" xfId="781"/>
    <cellStyle name="Output Report Heading" xfId="13"/>
    <cellStyle name="Output Report Heading 2" xfId="236"/>
    <cellStyle name="Output Report Heading 3" xfId="237"/>
    <cellStyle name="Output Report Heading 4" xfId="782"/>
    <cellStyle name="Output Report Heading_10-1 BS" xfId="783"/>
    <cellStyle name="Output Report Title" xfId="14"/>
    <cellStyle name="Output Report Title 2" xfId="239"/>
    <cellStyle name="Output Report Title 3" xfId="240"/>
    <cellStyle name="Output Report Title 4" xfId="784"/>
    <cellStyle name="Output Report Title_10-1 BS" xfId="785"/>
    <cellStyle name="PB Table Heading" xfId="241"/>
    <cellStyle name="PB Table Highlight1" xfId="242"/>
    <cellStyle name="PB Table Highlight2" xfId="243"/>
    <cellStyle name="PB Table Highlight3" xfId="244"/>
    <cellStyle name="PB Table Standard Row" xfId="245"/>
    <cellStyle name="PB Table Subtotal Row" xfId="246"/>
    <cellStyle name="PB Table Total Row" xfId="247"/>
    <cellStyle name="Percent [2]" xfId="249"/>
    <cellStyle name="Percent [2] 2" xfId="250"/>
    <cellStyle name="Percent [2] 2 2" xfId="251"/>
    <cellStyle name="Percent [2] 2 2 2" xfId="786"/>
    <cellStyle name="Percent [2] 2 3" xfId="252"/>
    <cellStyle name="Percent [2] 3" xfId="253"/>
    <cellStyle name="Percent [2] 3 2" xfId="254"/>
    <cellStyle name="Percent [2] 4" xfId="255"/>
    <cellStyle name="Percent [2] 4 2" xfId="787"/>
    <cellStyle name="Percent 10" xfId="256"/>
    <cellStyle name="Percent 11" xfId="257"/>
    <cellStyle name="Percent 12" xfId="258"/>
    <cellStyle name="Percent 13" xfId="259"/>
    <cellStyle name="Percent 14" xfId="248"/>
    <cellStyle name="Percent 15" xfId="340"/>
    <cellStyle name="Percent 16" xfId="335"/>
    <cellStyle name="Percent 17" xfId="366"/>
    <cellStyle name="Percent 18" xfId="350"/>
    <cellStyle name="Percent 19" xfId="368"/>
    <cellStyle name="Percent 2" xfId="260"/>
    <cellStyle name="Percent 2 2" xfId="788"/>
    <cellStyle name="Percent 2 2 2" xfId="789"/>
    <cellStyle name="Percent 2 3" xfId="790"/>
    <cellStyle name="Percent 20" xfId="355"/>
    <cellStyle name="Percent 21" xfId="369"/>
    <cellStyle name="Percent 22" xfId="415"/>
    <cellStyle name="Percent 23" xfId="404"/>
    <cellStyle name="Percent 24" xfId="416"/>
    <cellStyle name="Percent 25" xfId="402"/>
    <cellStyle name="Percent 26" xfId="417"/>
    <cellStyle name="Percent 27" xfId="443"/>
    <cellStyle name="Percent 28" xfId="440"/>
    <cellStyle name="Percent 3" xfId="261"/>
    <cellStyle name="Percent 3 2" xfId="262"/>
    <cellStyle name="Percent 3 3" xfId="263"/>
    <cellStyle name="Percent 4" xfId="264"/>
    <cellStyle name="Percent 4 2" xfId="265"/>
    <cellStyle name="Percent 4 3" xfId="266"/>
    <cellStyle name="Percent 5" xfId="267"/>
    <cellStyle name="Percent 5 2" xfId="268"/>
    <cellStyle name="Percent 5 3" xfId="269"/>
    <cellStyle name="Percent 6" xfId="270"/>
    <cellStyle name="Percent 6 2" xfId="271"/>
    <cellStyle name="Percent 7" xfId="272"/>
    <cellStyle name="Percent 7 2" xfId="273"/>
    <cellStyle name="Percent 8" xfId="274"/>
    <cellStyle name="Percent 8 2" xfId="275"/>
    <cellStyle name="Percent 9" xfId="276"/>
    <cellStyle name="PSChar" xfId="277"/>
    <cellStyle name="PSDate" xfId="278"/>
    <cellStyle name="PSDec" xfId="279"/>
    <cellStyle name="PSHeading" xfId="280"/>
    <cellStyle name="PSInt" xfId="281"/>
    <cellStyle name="PSSpacer" xfId="282"/>
    <cellStyle name="ReportTitlePrompt" xfId="283"/>
    <cellStyle name="ReportTitleValue" xfId="284"/>
    <cellStyle name="Reset  - Style4" xfId="285"/>
    <cellStyle name="RowAcctAbovePrompt" xfId="286"/>
    <cellStyle name="RowAcctSOBAbovePrompt" xfId="287"/>
    <cellStyle name="RowAcctSOBValue" xfId="288"/>
    <cellStyle name="RowAcctValue" xfId="289"/>
    <cellStyle name="RowAttrAbovePrompt" xfId="290"/>
    <cellStyle name="RowAttrValue" xfId="291"/>
    <cellStyle name="RowColSetAbovePrompt" xfId="292"/>
    <cellStyle name="RowColSetLeftPrompt" xfId="293"/>
    <cellStyle name="RowColSetValue" xfId="294"/>
    <cellStyle name="RowLeftPrompt" xfId="295"/>
    <cellStyle name="SampleUsingFormatMask" xfId="296"/>
    <cellStyle name="SampleWithNoFormatMask" xfId="297"/>
    <cellStyle name="SAPBorder" xfId="791"/>
    <cellStyle name="SAPDataCell" xfId="792"/>
    <cellStyle name="SAPDataTotalCell" xfId="793"/>
    <cellStyle name="SAPDimensionCell" xfId="794"/>
    <cellStyle name="SAPEditableDataCell" xfId="795"/>
    <cellStyle name="SAPEditableDataTotalCell" xfId="796"/>
    <cellStyle name="SAPEmphasized" xfId="797"/>
    <cellStyle name="SAPExceptionLevel1" xfId="798"/>
    <cellStyle name="SAPExceptionLevel2" xfId="799"/>
    <cellStyle name="SAPExceptionLevel3" xfId="800"/>
    <cellStyle name="SAPExceptionLevel4" xfId="801"/>
    <cellStyle name="SAPExceptionLevel5" xfId="802"/>
    <cellStyle name="SAPExceptionLevel6" xfId="803"/>
    <cellStyle name="SAPExceptionLevel7" xfId="804"/>
    <cellStyle name="SAPExceptionLevel8" xfId="805"/>
    <cellStyle name="SAPExceptionLevel9" xfId="806"/>
    <cellStyle name="SAPHierarchyCell0" xfId="807"/>
    <cellStyle name="SAPHierarchyCell1" xfId="808"/>
    <cellStyle name="SAPHierarchyCell2" xfId="809"/>
    <cellStyle name="SAPHierarchyCell3" xfId="810"/>
    <cellStyle name="SAPHierarchyCell4" xfId="811"/>
    <cellStyle name="SAPLockedDataCell" xfId="812"/>
    <cellStyle name="SAPLockedDataTotalCell" xfId="813"/>
    <cellStyle name="SAPMemberCell" xfId="814"/>
    <cellStyle name="SAPMemberTotalCell" xfId="815"/>
    <cellStyle name="SAPReadonlyDataCell" xfId="816"/>
    <cellStyle name="SAPReadonlyDataTotalCell" xfId="817"/>
    <cellStyle name="shade - Style1" xfId="298"/>
    <cellStyle name="Small Page Heading" xfId="299"/>
    <cellStyle name="Table  - Style5" xfId="300"/>
    <cellStyle name="Title  - Style6" xfId="302"/>
    <cellStyle name="Title 10" xfId="378"/>
    <cellStyle name="Title 11" xfId="421"/>
    <cellStyle name="Title 12" xfId="396"/>
    <cellStyle name="Title 12 2" xfId="818"/>
    <cellStyle name="Title 12_Essbase" xfId="819"/>
    <cellStyle name="Title 13" xfId="422"/>
    <cellStyle name="Title 14" xfId="395"/>
    <cellStyle name="Title 15" xfId="423"/>
    <cellStyle name="Title 16" xfId="445"/>
    <cellStyle name="Title 17" xfId="438"/>
    <cellStyle name="Title 18" xfId="820"/>
    <cellStyle name="Title 19" xfId="821"/>
    <cellStyle name="Title 2" xfId="303"/>
    <cellStyle name="Title 2 2" xfId="822"/>
    <cellStyle name="Title 2_10-1 BS" xfId="823"/>
    <cellStyle name="Title 20" xfId="824"/>
    <cellStyle name="Title 21" xfId="825"/>
    <cellStyle name="Title 22" xfId="826"/>
    <cellStyle name="Title 23" xfId="827"/>
    <cellStyle name="Title 24" xfId="828"/>
    <cellStyle name="Title 25" xfId="829"/>
    <cellStyle name="Title 26" xfId="830"/>
    <cellStyle name="Title 27" xfId="831"/>
    <cellStyle name="Title 28" xfId="832"/>
    <cellStyle name="Title 3" xfId="301"/>
    <cellStyle name="Title 4" xfId="343"/>
    <cellStyle name="Title 5" xfId="329"/>
    <cellStyle name="Title 6" xfId="370"/>
    <cellStyle name="Title 7" xfId="344"/>
    <cellStyle name="Title 8" xfId="377"/>
    <cellStyle name="Title 9" xfId="348"/>
    <cellStyle name="title1" xfId="304"/>
    <cellStyle name="title1 2" xfId="305"/>
    <cellStyle name="title1_03_2012" xfId="306"/>
    <cellStyle name="Total 2" xfId="308"/>
    <cellStyle name="Total 2 2" xfId="833"/>
    <cellStyle name="Total 2_10-1 BS" xfId="834"/>
    <cellStyle name="Total 3" xfId="307"/>
    <cellStyle name="Total 4" xfId="835"/>
    <cellStyle name="Total 5" xfId="836"/>
    <cellStyle name="TotCol - Style7" xfId="309"/>
    <cellStyle name="TotRow - Style8" xfId="310"/>
    <cellStyle name="Unprot" xfId="311"/>
    <cellStyle name="Unprot 2" xfId="837"/>
    <cellStyle name="Unprot$" xfId="312"/>
    <cellStyle name="Unprot$ 2" xfId="313"/>
    <cellStyle name="Unprot$ 2 2" xfId="314"/>
    <cellStyle name="Unprot$ 3" xfId="315"/>
    <cellStyle name="Unprot$_03_2012" xfId="316"/>
    <cellStyle name="Unprot_ACC02" xfId="838"/>
    <cellStyle name="Unprotect" xfId="317"/>
    <cellStyle name="UploadThisRowValue" xfId="318"/>
    <cellStyle name="Warning Text 2" xfId="320"/>
    <cellStyle name="Warning Text 3" xfId="319"/>
    <cellStyle name="Warning Text 4" xfId="839"/>
    <cellStyle name="Warning Text 5" xfId="840"/>
    <cellStyle name="一般_dept code" xfId="3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abSelected="1" zoomScale="84" zoomScaleNormal="84" workbookViewId="0"/>
  </sheetViews>
  <sheetFormatPr defaultRowHeight="15"/>
  <cols>
    <col min="1" max="1" width="49.85546875" bestFit="1" customWidth="1"/>
    <col min="2" max="2" width="6.7109375" bestFit="1" customWidth="1"/>
    <col min="3" max="4" width="8.85546875" bestFit="1" customWidth="1"/>
    <col min="5" max="5" width="5" style="105" bestFit="1" customWidth="1"/>
    <col min="6" max="9" width="12.5703125" style="102" bestFit="1" customWidth="1"/>
    <col min="10" max="11" width="12.85546875" style="102" bestFit="1" customWidth="1"/>
    <col min="12" max="19" width="16.140625" bestFit="1" customWidth="1"/>
  </cols>
  <sheetData>
    <row r="1" spans="1:19" ht="15.75">
      <c r="A1" s="4" t="s">
        <v>184</v>
      </c>
      <c r="B1" s="67"/>
      <c r="C1" s="1"/>
      <c r="D1" s="1"/>
      <c r="E1" s="103"/>
    </row>
    <row r="3" spans="1:19" ht="15.75">
      <c r="A3" s="2" t="s">
        <v>0</v>
      </c>
      <c r="B3" s="65"/>
      <c r="C3" s="1"/>
      <c r="D3" s="1"/>
      <c r="E3" s="103"/>
    </row>
    <row r="4" spans="1:19" ht="15.75">
      <c r="A4" s="2" t="s">
        <v>1</v>
      </c>
      <c r="B4" s="65"/>
      <c r="C4" s="1"/>
      <c r="D4" s="1"/>
      <c r="E4" s="103"/>
    </row>
    <row r="5" spans="1:19" ht="15.75">
      <c r="A5" s="2" t="s">
        <v>189</v>
      </c>
      <c r="B5" s="65"/>
      <c r="C5" s="1"/>
      <c r="D5" s="1"/>
      <c r="E5" s="103"/>
    </row>
    <row r="6" spans="1:19">
      <c r="A6" s="3"/>
      <c r="B6" s="66"/>
      <c r="C6" s="5"/>
      <c r="D6" s="3"/>
      <c r="E6" s="104"/>
      <c r="L6" s="102"/>
      <c r="M6" s="102"/>
      <c r="N6" s="102"/>
      <c r="O6" s="102"/>
      <c r="P6" s="102"/>
      <c r="Q6" s="102"/>
      <c r="R6" s="102"/>
      <c r="S6" s="102"/>
    </row>
    <row r="7" spans="1:19" ht="15.75">
      <c r="A7" s="4" t="s">
        <v>2</v>
      </c>
      <c r="B7" s="67"/>
      <c r="C7" s="1"/>
      <c r="D7" s="1"/>
      <c r="E7" s="103"/>
      <c r="F7" s="23" t="s">
        <v>94</v>
      </c>
      <c r="G7" s="23" t="s">
        <v>8</v>
      </c>
      <c r="H7" s="23" t="s">
        <v>8</v>
      </c>
      <c r="I7" s="23" t="s">
        <v>8</v>
      </c>
      <c r="J7" s="23" t="s">
        <v>8</v>
      </c>
      <c r="K7" s="24" t="s">
        <v>9</v>
      </c>
      <c r="L7" s="24" t="s">
        <v>9</v>
      </c>
      <c r="M7" s="24" t="s">
        <v>9</v>
      </c>
      <c r="N7" s="24" t="s">
        <v>9</v>
      </c>
      <c r="O7" s="24" t="s">
        <v>187</v>
      </c>
      <c r="P7" s="24" t="s">
        <v>187</v>
      </c>
      <c r="Q7" s="24" t="s">
        <v>187</v>
      </c>
      <c r="R7" s="24" t="s">
        <v>187</v>
      </c>
      <c r="S7" s="24" t="s">
        <v>188</v>
      </c>
    </row>
    <row r="8" spans="1:19" ht="15.75">
      <c r="A8" s="1"/>
      <c r="B8" s="1"/>
      <c r="C8" s="1"/>
      <c r="D8" s="1"/>
      <c r="E8" s="103"/>
      <c r="F8" s="57">
        <v>40816</v>
      </c>
      <c r="G8" s="57">
        <v>40908</v>
      </c>
      <c r="H8" s="57">
        <v>40999</v>
      </c>
      <c r="I8" s="57">
        <v>41090</v>
      </c>
      <c r="J8" s="57">
        <v>41182</v>
      </c>
      <c r="K8" s="56">
        <v>41274</v>
      </c>
      <c r="L8" s="56">
        <v>41364</v>
      </c>
      <c r="M8" s="56">
        <v>41455</v>
      </c>
      <c r="N8" s="56">
        <v>41547</v>
      </c>
      <c r="O8" s="56">
        <v>41639</v>
      </c>
      <c r="P8" s="56">
        <v>41729</v>
      </c>
      <c r="Q8" s="56">
        <v>41820</v>
      </c>
      <c r="R8" s="56">
        <v>41912</v>
      </c>
      <c r="S8" s="56">
        <v>42004</v>
      </c>
    </row>
    <row r="9" spans="1:19" ht="25.5">
      <c r="A9" s="3" t="s">
        <v>3</v>
      </c>
      <c r="B9" s="66" t="s">
        <v>197</v>
      </c>
      <c r="C9" s="5" t="s">
        <v>4</v>
      </c>
      <c r="D9" s="3" t="s">
        <v>5</v>
      </c>
      <c r="E9" s="104" t="s">
        <v>6</v>
      </c>
      <c r="F9" s="55" t="s">
        <v>101</v>
      </c>
      <c r="G9" s="55" t="s">
        <v>101</v>
      </c>
      <c r="H9" s="55" t="s">
        <v>101</v>
      </c>
      <c r="I9" s="55" t="s">
        <v>101</v>
      </c>
      <c r="J9" s="55" t="s">
        <v>101</v>
      </c>
      <c r="K9" s="55" t="s">
        <v>101</v>
      </c>
      <c r="L9" s="55" t="s">
        <v>101</v>
      </c>
      <c r="M9" s="55" t="s">
        <v>101</v>
      </c>
      <c r="N9" s="55" t="s">
        <v>101</v>
      </c>
      <c r="O9" s="55" t="s">
        <v>101</v>
      </c>
      <c r="P9" s="55" t="s">
        <v>101</v>
      </c>
      <c r="Q9" s="55" t="s">
        <v>101</v>
      </c>
      <c r="R9" s="55" t="s">
        <v>101</v>
      </c>
      <c r="S9" s="55" t="s">
        <v>101</v>
      </c>
    </row>
    <row r="10" spans="1:19">
      <c r="A10" s="77" t="s">
        <v>10</v>
      </c>
      <c r="B10" s="77" t="s">
        <v>107</v>
      </c>
      <c r="C10" s="81" t="s">
        <v>122</v>
      </c>
      <c r="D10">
        <v>1900</v>
      </c>
      <c r="E10" s="105" t="s">
        <v>105</v>
      </c>
      <c r="F10" s="109">
        <v>211065.76</v>
      </c>
      <c r="G10" s="109">
        <v>211065.76</v>
      </c>
      <c r="H10" s="109">
        <v>211065.76</v>
      </c>
      <c r="I10" s="109">
        <v>211065.76</v>
      </c>
      <c r="J10" s="110">
        <v>186744.22</v>
      </c>
      <c r="K10" s="110">
        <v>186744.22</v>
      </c>
      <c r="L10" s="129">
        <v>186744.22</v>
      </c>
      <c r="M10" s="130">
        <v>186744.22</v>
      </c>
      <c r="N10" s="129">
        <v>156501.41500000001</v>
      </c>
      <c r="O10" s="129">
        <v>156501.41500000001</v>
      </c>
      <c r="P10" s="129">
        <v>156501.41500000001</v>
      </c>
      <c r="Q10" s="129">
        <v>156501.41500000001</v>
      </c>
      <c r="R10" s="129">
        <v>123167.425</v>
      </c>
      <c r="S10" s="129">
        <v>123167.425</v>
      </c>
    </row>
    <row r="11" spans="1:19">
      <c r="A11" s="77" t="s">
        <v>11</v>
      </c>
      <c r="B11" s="77" t="s">
        <v>107</v>
      </c>
      <c r="C11" s="81" t="s">
        <v>123</v>
      </c>
      <c r="D11">
        <v>1900</v>
      </c>
      <c r="E11" s="105" t="s">
        <v>105</v>
      </c>
      <c r="F11" s="109">
        <v>1926377.99</v>
      </c>
      <c r="G11" s="109">
        <v>1926377.99</v>
      </c>
      <c r="H11" s="109">
        <v>1926377.99</v>
      </c>
      <c r="I11" s="109">
        <v>1926377.99</v>
      </c>
      <c r="J11" s="110">
        <v>1887068.25</v>
      </c>
      <c r="K11" s="110">
        <v>1887068.25</v>
      </c>
      <c r="L11" s="129">
        <v>1887068.25</v>
      </c>
      <c r="M11" s="130">
        <v>943926.86499999999</v>
      </c>
      <c r="N11" s="129">
        <v>2137901.36</v>
      </c>
      <c r="O11" s="129">
        <v>2137901.36</v>
      </c>
      <c r="P11" s="129">
        <v>2137901.36</v>
      </c>
      <c r="Q11" s="129">
        <v>707062.66999999993</v>
      </c>
      <c r="R11" s="129">
        <v>1253997.6499999999</v>
      </c>
      <c r="S11" s="129">
        <v>1253997.6499999999</v>
      </c>
    </row>
    <row r="12" spans="1:19">
      <c r="A12" s="85" t="s">
        <v>11</v>
      </c>
      <c r="B12" s="85" t="s">
        <v>108</v>
      </c>
      <c r="C12" s="86" t="s">
        <v>123</v>
      </c>
      <c r="D12">
        <v>1900</v>
      </c>
      <c r="E12" s="105" t="s">
        <v>105</v>
      </c>
      <c r="F12" s="109">
        <v>-1365351.06</v>
      </c>
      <c r="G12" s="109">
        <v>-1365351.06</v>
      </c>
      <c r="H12" s="109">
        <v>-1365351.06</v>
      </c>
      <c r="I12" s="109">
        <v>-1365351.06</v>
      </c>
      <c r="J12" s="110">
        <v>-171474.81</v>
      </c>
      <c r="K12" s="110">
        <v>-171474.81</v>
      </c>
      <c r="L12" s="129">
        <v>-171474.81</v>
      </c>
      <c r="M12" s="130">
        <v>-294129.04499999998</v>
      </c>
      <c r="N12" s="129">
        <v>-294129.04499999998</v>
      </c>
      <c r="O12" s="129">
        <v>-294129.04499999998</v>
      </c>
      <c r="P12" s="129">
        <v>-294129.04499999998</v>
      </c>
      <c r="Q12" s="129">
        <v>-410946.2</v>
      </c>
      <c r="R12" s="129">
        <v>-410946.2</v>
      </c>
      <c r="S12" s="129">
        <v>-410946.2</v>
      </c>
    </row>
    <row r="13" spans="1:19">
      <c r="A13" s="77" t="s">
        <v>13</v>
      </c>
      <c r="B13" s="77" t="s">
        <v>107</v>
      </c>
      <c r="C13" s="81" t="s">
        <v>124</v>
      </c>
      <c r="D13">
        <v>1900</v>
      </c>
      <c r="E13" s="105" t="s">
        <v>105</v>
      </c>
      <c r="F13" s="109">
        <v>14214.289999999999</v>
      </c>
      <c r="G13" s="109">
        <v>14214.289999999999</v>
      </c>
      <c r="H13" s="109">
        <v>14214.289999999999</v>
      </c>
      <c r="I13" s="109">
        <v>14214.289999999999</v>
      </c>
      <c r="J13" s="110">
        <v>0</v>
      </c>
      <c r="K13" s="110">
        <v>0</v>
      </c>
      <c r="L13" s="129"/>
      <c r="M13" s="130"/>
      <c r="N13" s="129"/>
      <c r="O13" s="129"/>
      <c r="P13" s="129"/>
      <c r="Q13" s="129"/>
      <c r="R13" s="129"/>
      <c r="S13" s="129"/>
    </row>
    <row r="14" spans="1:19">
      <c r="A14" s="77" t="s">
        <v>13</v>
      </c>
      <c r="B14" s="77" t="s">
        <v>107</v>
      </c>
      <c r="C14" s="81" t="s">
        <v>124</v>
      </c>
      <c r="D14">
        <v>2830</v>
      </c>
      <c r="E14" s="105" t="s">
        <v>109</v>
      </c>
      <c r="F14" s="109"/>
      <c r="G14" s="109"/>
      <c r="H14" s="109"/>
      <c r="I14" s="109"/>
      <c r="J14" s="110">
        <v>14445</v>
      </c>
      <c r="K14" s="110">
        <v>14445</v>
      </c>
      <c r="L14" s="129">
        <v>14445.24</v>
      </c>
      <c r="M14" s="130">
        <v>14445.24</v>
      </c>
      <c r="N14" s="129">
        <v>14445.24</v>
      </c>
      <c r="O14" s="129">
        <v>14445.24</v>
      </c>
      <c r="P14" s="129">
        <v>14445.24</v>
      </c>
      <c r="Q14" s="129">
        <v>14445.24</v>
      </c>
      <c r="R14" s="129">
        <v>14426.99</v>
      </c>
      <c r="S14" s="129">
        <v>14426.99</v>
      </c>
    </row>
    <row r="15" spans="1:19">
      <c r="A15" s="77" t="s">
        <v>14</v>
      </c>
      <c r="B15" s="77" t="s">
        <v>107</v>
      </c>
      <c r="C15" s="81" t="s">
        <v>125</v>
      </c>
      <c r="D15">
        <v>1900</v>
      </c>
      <c r="E15" s="105" t="s">
        <v>105</v>
      </c>
      <c r="F15" s="109">
        <v>1568122.9</v>
      </c>
      <c r="G15" s="109">
        <v>1568122.9</v>
      </c>
      <c r="H15" s="109">
        <v>1568122.9</v>
      </c>
      <c r="I15" s="109">
        <v>1568122.9</v>
      </c>
      <c r="J15" s="110">
        <v>2276932.0499999998</v>
      </c>
      <c r="K15" s="110">
        <v>2276932.0499999998</v>
      </c>
      <c r="L15" s="129">
        <v>2276932.0499999998</v>
      </c>
      <c r="M15" s="130">
        <v>2276932.0499999998</v>
      </c>
      <c r="N15" s="129">
        <v>2660182.0499999998</v>
      </c>
      <c r="O15" s="129">
        <v>2660182.0499999998</v>
      </c>
      <c r="P15" s="129">
        <v>2660182.0499999998</v>
      </c>
      <c r="Q15" s="129">
        <v>2660182.0499999998</v>
      </c>
      <c r="R15" s="129">
        <v>4576432.05</v>
      </c>
      <c r="S15" s="129">
        <v>4576432.05</v>
      </c>
    </row>
    <row r="16" spans="1:19">
      <c r="A16" s="77" t="s">
        <v>15</v>
      </c>
      <c r="B16" s="77" t="s">
        <v>107</v>
      </c>
      <c r="C16" s="81" t="s">
        <v>126</v>
      </c>
      <c r="D16">
        <v>1900</v>
      </c>
      <c r="E16" s="105" t="s">
        <v>105</v>
      </c>
      <c r="F16" s="109">
        <v>6232.28</v>
      </c>
      <c r="G16" s="109">
        <v>6232.28</v>
      </c>
      <c r="H16" s="109">
        <v>6232.28</v>
      </c>
      <c r="I16" s="109">
        <v>6232.28</v>
      </c>
      <c r="J16" s="110">
        <v>0</v>
      </c>
      <c r="K16" s="110">
        <v>0</v>
      </c>
      <c r="L16" s="129"/>
      <c r="M16" s="130"/>
      <c r="N16" s="129"/>
      <c r="O16" s="129"/>
      <c r="P16" s="129"/>
      <c r="Q16" s="129"/>
      <c r="R16" s="129"/>
      <c r="S16" s="129"/>
    </row>
    <row r="17" spans="1:19">
      <c r="A17" s="77" t="s">
        <v>15</v>
      </c>
      <c r="B17" s="77" t="s">
        <v>107</v>
      </c>
      <c r="C17" s="81" t="s">
        <v>126</v>
      </c>
      <c r="D17">
        <v>2830</v>
      </c>
      <c r="E17" s="105" t="s">
        <v>109</v>
      </c>
      <c r="F17" s="109"/>
      <c r="G17" s="109"/>
      <c r="H17" s="109"/>
      <c r="I17" s="109"/>
      <c r="J17" s="110">
        <v>95162</v>
      </c>
      <c r="K17" s="110">
        <v>95162</v>
      </c>
      <c r="L17" s="129">
        <v>95161.705000000002</v>
      </c>
      <c r="M17" s="130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</row>
    <row r="18" spans="1:19">
      <c r="A18" s="85" t="s">
        <v>15</v>
      </c>
      <c r="B18" s="85" t="s">
        <v>108</v>
      </c>
      <c r="C18" s="86" t="s">
        <v>126</v>
      </c>
      <c r="D18">
        <v>1900</v>
      </c>
      <c r="E18" s="105" t="s">
        <v>105</v>
      </c>
      <c r="F18" s="109">
        <v>5571.83</v>
      </c>
      <c r="G18" s="109">
        <v>5571.83</v>
      </c>
      <c r="H18" s="109">
        <v>5571.83</v>
      </c>
      <c r="I18" s="109">
        <v>5571.83</v>
      </c>
      <c r="J18" s="110">
        <v>0</v>
      </c>
      <c r="K18" s="110">
        <v>0</v>
      </c>
      <c r="L18" s="129"/>
      <c r="M18" s="130"/>
      <c r="N18" s="129"/>
      <c r="O18" s="129"/>
      <c r="P18" s="129"/>
      <c r="Q18" s="129"/>
      <c r="R18" s="129"/>
      <c r="S18" s="129"/>
    </row>
    <row r="19" spans="1:19">
      <c r="A19" s="85" t="s">
        <v>15</v>
      </c>
      <c r="B19" s="85" t="s">
        <v>108</v>
      </c>
      <c r="C19" s="86" t="s">
        <v>126</v>
      </c>
      <c r="D19">
        <v>2830</v>
      </c>
      <c r="E19" s="105" t="s">
        <v>109</v>
      </c>
      <c r="F19" s="109"/>
      <c r="G19" s="109"/>
      <c r="H19" s="109"/>
      <c r="I19" s="109"/>
      <c r="J19" s="110">
        <v>-89728</v>
      </c>
      <c r="K19" s="110">
        <v>-89728</v>
      </c>
      <c r="L19" s="129">
        <v>-89728.315000000002</v>
      </c>
      <c r="M19" s="130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</row>
    <row r="20" spans="1:19">
      <c r="A20" s="77" t="s">
        <v>16</v>
      </c>
      <c r="B20" s="77" t="s">
        <v>107</v>
      </c>
      <c r="C20" s="81" t="s">
        <v>127</v>
      </c>
      <c r="D20">
        <v>1900</v>
      </c>
      <c r="E20" s="105" t="s">
        <v>105</v>
      </c>
      <c r="F20" s="109">
        <v>50720.71</v>
      </c>
      <c r="G20" s="109">
        <v>50720.71</v>
      </c>
      <c r="H20" s="109">
        <v>50720.71</v>
      </c>
      <c r="I20" s="109">
        <v>50720.71</v>
      </c>
      <c r="J20" s="110">
        <v>17875.145</v>
      </c>
      <c r="K20" s="110">
        <v>17875.145</v>
      </c>
      <c r="L20" s="129">
        <v>17875.145</v>
      </c>
      <c r="M20" s="130">
        <v>17875.145</v>
      </c>
      <c r="N20" s="129">
        <v>75266.285000000003</v>
      </c>
      <c r="O20" s="129">
        <v>75266.285000000003</v>
      </c>
      <c r="P20" s="129">
        <v>75266.285000000003</v>
      </c>
      <c r="Q20" s="129">
        <v>75622.89</v>
      </c>
      <c r="R20" s="129">
        <v>-627.79999999999995</v>
      </c>
      <c r="S20" s="129">
        <v>-627.79999999999995</v>
      </c>
    </row>
    <row r="21" spans="1:19">
      <c r="A21" s="85" t="s">
        <v>16</v>
      </c>
      <c r="B21" s="85" t="s">
        <v>108</v>
      </c>
      <c r="C21" s="86" t="s">
        <v>127</v>
      </c>
      <c r="D21">
        <v>1900</v>
      </c>
      <c r="E21" s="105" t="s">
        <v>105</v>
      </c>
      <c r="F21" s="109">
        <v>-32215.53</v>
      </c>
      <c r="G21" s="109">
        <v>-32215.53</v>
      </c>
      <c r="H21" s="109">
        <v>-32215.53</v>
      </c>
      <c r="I21" s="109">
        <v>-32215.53</v>
      </c>
      <c r="J21" s="110">
        <v>0</v>
      </c>
      <c r="K21" s="110">
        <v>0</v>
      </c>
      <c r="L21" s="129">
        <v>0</v>
      </c>
      <c r="M21" s="130">
        <v>0</v>
      </c>
      <c r="N21" s="129">
        <v>51.464999999999996</v>
      </c>
      <c r="O21" s="129">
        <v>51.464999999999996</v>
      </c>
      <c r="P21" s="129">
        <v>51.464999999999996</v>
      </c>
      <c r="Q21" s="129">
        <v>2573.6149999999998</v>
      </c>
      <c r="R21" s="129">
        <v>0</v>
      </c>
      <c r="S21" s="129">
        <v>0</v>
      </c>
    </row>
    <row r="22" spans="1:19">
      <c r="A22" s="77" t="s">
        <v>39</v>
      </c>
      <c r="B22" s="77" t="s">
        <v>107</v>
      </c>
      <c r="C22" s="81" t="s">
        <v>137</v>
      </c>
      <c r="D22">
        <v>2830</v>
      </c>
      <c r="E22" s="105" t="s">
        <v>109</v>
      </c>
      <c r="F22" s="109">
        <v>61380.78</v>
      </c>
      <c r="G22" s="109">
        <f>F22</f>
        <v>61380.78</v>
      </c>
      <c r="H22" s="109">
        <f>G22</f>
        <v>61380.78</v>
      </c>
      <c r="I22" s="109">
        <f>H22</f>
        <v>61380.78</v>
      </c>
      <c r="J22" s="110">
        <v>-355.51</v>
      </c>
      <c r="K22" s="110">
        <f>J22</f>
        <v>-355.51</v>
      </c>
      <c r="L22" s="129"/>
      <c r="M22" s="130"/>
      <c r="N22" s="129"/>
      <c r="O22" s="129"/>
      <c r="P22" s="129"/>
      <c r="Q22" s="129"/>
      <c r="R22" s="129"/>
      <c r="S22" s="129"/>
    </row>
    <row r="23" spans="1:19">
      <c r="A23" s="77" t="s">
        <v>39</v>
      </c>
      <c r="B23" s="77" t="s">
        <v>107</v>
      </c>
      <c r="C23" s="81" t="s">
        <v>137</v>
      </c>
      <c r="D23">
        <v>2820</v>
      </c>
      <c r="E23" s="106" t="s">
        <v>106</v>
      </c>
      <c r="F23" s="109"/>
      <c r="G23" s="109">
        <f>61291-61381</f>
        <v>-90</v>
      </c>
      <c r="H23" s="109">
        <f>60993-F22</f>
        <v>-387.77999999999884</v>
      </c>
      <c r="I23" s="109">
        <f>60993-F22</f>
        <v>-387.77999999999884</v>
      </c>
      <c r="J23" s="110"/>
      <c r="K23" s="110">
        <f>-1701-J22</f>
        <v>-1345.49</v>
      </c>
      <c r="L23" s="129">
        <v>-5600.3409999999976</v>
      </c>
      <c r="M23" s="130">
        <v>-5600.3409999999976</v>
      </c>
      <c r="N23" s="129">
        <v>-5600.1949999999997</v>
      </c>
      <c r="O23" s="129">
        <v>-5600.1949999999997</v>
      </c>
      <c r="P23" s="129">
        <v>-5600.1949999999997</v>
      </c>
      <c r="Q23" s="129">
        <v>-5600.1949999999997</v>
      </c>
      <c r="R23" s="129">
        <v>0.36499999999999999</v>
      </c>
      <c r="S23" s="129">
        <v>0.36499999999999999</v>
      </c>
    </row>
    <row r="24" spans="1:19">
      <c r="A24" s="77" t="s">
        <v>186</v>
      </c>
      <c r="B24" s="77" t="s">
        <v>107</v>
      </c>
      <c r="C24" s="81" t="s">
        <v>128</v>
      </c>
      <c r="D24">
        <v>2830</v>
      </c>
      <c r="E24" s="106" t="s">
        <v>109</v>
      </c>
      <c r="F24" s="109"/>
      <c r="G24" s="109"/>
      <c r="H24" s="109"/>
      <c r="I24" s="109"/>
      <c r="J24" s="110">
        <v>-592309</v>
      </c>
      <c r="K24" s="110">
        <v>-592309</v>
      </c>
      <c r="L24" s="129">
        <v>592309</v>
      </c>
      <c r="M24" s="130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1593612</v>
      </c>
      <c r="S24" s="129">
        <v>0</v>
      </c>
    </row>
    <row r="25" spans="1:19">
      <c r="A25" s="77" t="s">
        <v>17</v>
      </c>
      <c r="B25" s="77" t="s">
        <v>107</v>
      </c>
      <c r="C25" s="81" t="s">
        <v>174</v>
      </c>
      <c r="D25">
        <v>1900</v>
      </c>
      <c r="E25" s="105" t="s">
        <v>105</v>
      </c>
      <c r="F25" s="109">
        <v>4279.42</v>
      </c>
      <c r="G25" s="109">
        <v>4279.42</v>
      </c>
      <c r="H25" s="109">
        <v>4279.42</v>
      </c>
      <c r="I25" s="109">
        <v>4279.42</v>
      </c>
      <c r="J25" s="110">
        <v>0</v>
      </c>
      <c r="K25" s="110">
        <v>0</v>
      </c>
      <c r="L25" s="129">
        <v>0</v>
      </c>
      <c r="M25" s="130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</row>
    <row r="26" spans="1:19">
      <c r="A26" s="77" t="s">
        <v>18</v>
      </c>
      <c r="B26" s="77" t="s">
        <v>107</v>
      </c>
      <c r="C26" s="81" t="s">
        <v>147</v>
      </c>
      <c r="D26">
        <v>1900</v>
      </c>
      <c r="E26" s="105" t="s">
        <v>105</v>
      </c>
      <c r="F26" s="109">
        <v>25510036.280000001</v>
      </c>
      <c r="G26" s="109">
        <f>F26</f>
        <v>25510036.280000001</v>
      </c>
      <c r="H26" s="109">
        <f>G26</f>
        <v>25510036.280000001</v>
      </c>
      <c r="I26" s="109">
        <f>H26</f>
        <v>25510036.280000001</v>
      </c>
      <c r="J26" s="110">
        <v>26397971.649999999</v>
      </c>
      <c r="K26" s="110">
        <f>J26</f>
        <v>26397971.649999999</v>
      </c>
      <c r="L26" s="129">
        <v>26704956.13005</v>
      </c>
      <c r="M26" s="130">
        <v>25756448.810699999</v>
      </c>
      <c r="N26" s="129">
        <v>26359915.655000001</v>
      </c>
      <c r="O26" s="129">
        <v>22115575.515249997</v>
      </c>
      <c r="P26" s="129">
        <v>22470540.672449999</v>
      </c>
      <c r="Q26" s="129">
        <v>22699813.863899998</v>
      </c>
      <c r="R26" s="129">
        <v>23175180.789999999</v>
      </c>
      <c r="S26" s="129">
        <v>23458405.200849999</v>
      </c>
    </row>
    <row r="27" spans="1:19">
      <c r="A27" s="77" t="s">
        <v>25</v>
      </c>
      <c r="B27" s="77" t="s">
        <v>107</v>
      </c>
      <c r="C27" s="82" t="s">
        <v>160</v>
      </c>
      <c r="D27">
        <v>2820</v>
      </c>
      <c r="E27" s="106" t="s">
        <v>106</v>
      </c>
      <c r="F27" s="109"/>
      <c r="G27" s="109">
        <f>25717268-F26</f>
        <v>207231.71999999881</v>
      </c>
      <c r="H27" s="109">
        <f>26029224-F26</f>
        <v>519187.71999999881</v>
      </c>
      <c r="I27" s="109">
        <f>26344409-F26</f>
        <v>834372.71999999881</v>
      </c>
      <c r="J27" s="110"/>
      <c r="K27" s="110">
        <f>26151981-J26</f>
        <v>-245990.64999999851</v>
      </c>
      <c r="L27" s="129">
        <v>0</v>
      </c>
      <c r="M27" s="130">
        <v>0</v>
      </c>
      <c r="N27" s="129">
        <v>0</v>
      </c>
      <c r="O27" s="129">
        <v>0</v>
      </c>
      <c r="P27" s="129">
        <v>0</v>
      </c>
      <c r="Q27" s="129">
        <v>0</v>
      </c>
      <c r="R27" s="129">
        <v>0</v>
      </c>
      <c r="S27" s="129">
        <v>0</v>
      </c>
    </row>
    <row r="28" spans="1:19">
      <c r="A28" s="77" t="s">
        <v>19</v>
      </c>
      <c r="B28" s="77" t="s">
        <v>107</v>
      </c>
      <c r="C28" s="81" t="s">
        <v>148</v>
      </c>
      <c r="D28">
        <v>1900</v>
      </c>
      <c r="E28" s="105" t="s">
        <v>105</v>
      </c>
      <c r="F28" s="109">
        <v>5319945.47</v>
      </c>
      <c r="G28" s="109">
        <v>5319945.47</v>
      </c>
      <c r="H28" s="109">
        <v>5319945.47</v>
      </c>
      <c r="I28" s="109">
        <v>5319945.47</v>
      </c>
      <c r="J28" s="110">
        <v>7061013.6949999994</v>
      </c>
      <c r="K28" s="110">
        <v>7061013.6949999994</v>
      </c>
      <c r="L28" s="129">
        <v>7061013.6949999994</v>
      </c>
      <c r="M28" s="130">
        <v>6291550.9900000002</v>
      </c>
      <c r="N28" s="129">
        <v>8010583.46</v>
      </c>
      <c r="O28" s="129">
        <v>8010583.46</v>
      </c>
      <c r="P28" s="129">
        <v>8010583.46</v>
      </c>
      <c r="Q28" s="129">
        <v>8010583.46</v>
      </c>
      <c r="R28" s="129">
        <v>7385564.7599999998</v>
      </c>
      <c r="S28" s="129">
        <v>7385564.7599999998</v>
      </c>
    </row>
    <row r="29" spans="1:19">
      <c r="A29" s="77" t="s">
        <v>20</v>
      </c>
      <c r="B29" s="77" t="s">
        <v>107</v>
      </c>
      <c r="C29" s="81" t="s">
        <v>149</v>
      </c>
      <c r="D29">
        <v>1900</v>
      </c>
      <c r="E29" s="105" t="s">
        <v>105</v>
      </c>
      <c r="F29" s="109">
        <v>1999696.45</v>
      </c>
      <c r="G29" s="109">
        <v>1999696.45</v>
      </c>
      <c r="H29" s="109">
        <v>1999696.45</v>
      </c>
      <c r="I29" s="109">
        <v>1999696.45</v>
      </c>
      <c r="J29" s="110">
        <v>1650299.6850000001</v>
      </c>
      <c r="K29" s="110">
        <v>1650299.6850000001</v>
      </c>
      <c r="L29" s="129">
        <v>1650299.6850000001</v>
      </c>
      <c r="M29" s="130">
        <v>1650299.6850000001</v>
      </c>
      <c r="N29" s="129">
        <v>1471694.9649999999</v>
      </c>
      <c r="O29" s="129">
        <v>1471694.9649999999</v>
      </c>
      <c r="P29" s="129">
        <v>1471694.9649999999</v>
      </c>
      <c r="Q29" s="129">
        <v>1488572.2</v>
      </c>
      <c r="R29" s="129">
        <v>1534495.405</v>
      </c>
      <c r="S29" s="129">
        <v>1534495.405</v>
      </c>
    </row>
    <row r="30" spans="1:19">
      <c r="A30" s="77" t="s">
        <v>21</v>
      </c>
      <c r="B30" s="77" t="s">
        <v>107</v>
      </c>
      <c r="C30" s="81" t="s">
        <v>150</v>
      </c>
      <c r="D30">
        <v>1900</v>
      </c>
      <c r="E30" s="105" t="s">
        <v>105</v>
      </c>
      <c r="F30" s="109">
        <v>4371138.93</v>
      </c>
      <c r="G30" s="109">
        <v>4371138.93</v>
      </c>
      <c r="H30" s="109">
        <v>4371138.93</v>
      </c>
      <c r="I30" s="109">
        <v>4371138.93</v>
      </c>
      <c r="J30" s="110">
        <v>5675324.7749999994</v>
      </c>
      <c r="K30" s="110">
        <v>5675324.7749999994</v>
      </c>
      <c r="L30" s="129">
        <v>5675324.7749999994</v>
      </c>
      <c r="M30" s="130">
        <v>6445102.1099999994</v>
      </c>
      <c r="N30" s="129">
        <v>7822724.5300000003</v>
      </c>
      <c r="O30" s="129">
        <v>7822724.5300000003</v>
      </c>
      <c r="P30" s="129">
        <v>7822724.5300000003</v>
      </c>
      <c r="Q30" s="129">
        <v>7822724.5300000003</v>
      </c>
      <c r="R30" s="129">
        <v>9513920.2750000004</v>
      </c>
      <c r="S30" s="129">
        <v>9513920.2750000004</v>
      </c>
    </row>
    <row r="31" spans="1:19">
      <c r="A31" s="77" t="s">
        <v>22</v>
      </c>
      <c r="B31" s="77" t="s">
        <v>107</v>
      </c>
      <c r="C31" s="81" t="s">
        <v>151</v>
      </c>
      <c r="D31">
        <v>1900</v>
      </c>
      <c r="E31" s="105" t="s">
        <v>105</v>
      </c>
      <c r="F31" s="109">
        <v>2956401.75</v>
      </c>
      <c r="G31" s="109">
        <v>2956401.75</v>
      </c>
      <c r="H31" s="109">
        <v>2956401.75</v>
      </c>
      <c r="I31" s="109">
        <v>2956401.75</v>
      </c>
      <c r="J31" s="110">
        <v>2843210.9350000001</v>
      </c>
      <c r="K31" s="110">
        <v>2843210.9350000001</v>
      </c>
      <c r="L31" s="129">
        <v>2843210.9350000001</v>
      </c>
      <c r="M31" s="130">
        <v>2843210.9350000001</v>
      </c>
      <c r="N31" s="129">
        <v>3466064.09</v>
      </c>
      <c r="O31" s="129">
        <v>3466064.09</v>
      </c>
      <c r="P31" s="129">
        <v>3466064.09</v>
      </c>
      <c r="Q31" s="129">
        <v>3466064.09</v>
      </c>
      <c r="R31" s="129">
        <v>4119248.0150000001</v>
      </c>
      <c r="S31" s="129">
        <v>4119248.0150000001</v>
      </c>
    </row>
    <row r="32" spans="1:19">
      <c r="A32" s="77" t="s">
        <v>23</v>
      </c>
      <c r="B32" s="77" t="s">
        <v>107</v>
      </c>
      <c r="C32" s="81" t="s">
        <v>177</v>
      </c>
      <c r="D32">
        <v>2830</v>
      </c>
      <c r="E32" s="105" t="s">
        <v>109</v>
      </c>
      <c r="F32" s="109">
        <v>-678829.38</v>
      </c>
      <c r="G32" s="109">
        <v>-678829.38</v>
      </c>
      <c r="H32" s="109">
        <v>-678829.38</v>
      </c>
      <c r="I32" s="109">
        <v>-678829.38</v>
      </c>
      <c r="J32" s="110">
        <v>0</v>
      </c>
      <c r="K32" s="110">
        <v>0</v>
      </c>
      <c r="L32" s="129">
        <v>0</v>
      </c>
      <c r="M32" s="130">
        <v>0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</row>
    <row r="33" spans="1:19">
      <c r="A33" s="77" t="s">
        <v>48</v>
      </c>
      <c r="B33" s="77" t="s">
        <v>107</v>
      </c>
      <c r="C33" s="81" t="s">
        <v>131</v>
      </c>
      <c r="D33">
        <v>1900</v>
      </c>
      <c r="E33" s="105" t="s">
        <v>105</v>
      </c>
      <c r="F33" s="109">
        <v>1.85</v>
      </c>
      <c r="G33" s="109">
        <v>1.85</v>
      </c>
      <c r="H33" s="109">
        <v>1.85</v>
      </c>
      <c r="I33" s="109">
        <v>1.85</v>
      </c>
      <c r="J33" s="110">
        <v>625810</v>
      </c>
      <c r="K33" s="110">
        <v>625810</v>
      </c>
      <c r="L33" s="129">
        <v>1.825</v>
      </c>
      <c r="M33" s="130">
        <v>1.825</v>
      </c>
      <c r="N33" s="129">
        <v>-35.405000000000001</v>
      </c>
      <c r="O33" s="129">
        <v>-35.405000000000001</v>
      </c>
      <c r="P33" s="129">
        <v>-35.405000000000001</v>
      </c>
      <c r="Q33" s="129">
        <v>-35.405000000000001</v>
      </c>
      <c r="R33" s="129">
        <v>0</v>
      </c>
      <c r="S33" s="129">
        <v>1.8395999999999999</v>
      </c>
    </row>
    <row r="34" spans="1:19">
      <c r="A34" s="77" t="s">
        <v>49</v>
      </c>
      <c r="B34" s="77" t="s">
        <v>107</v>
      </c>
      <c r="C34" s="81" t="s">
        <v>132</v>
      </c>
      <c r="D34">
        <v>1900</v>
      </c>
      <c r="E34" s="105" t="s">
        <v>105</v>
      </c>
      <c r="F34" s="109">
        <v>18873.329999999998</v>
      </c>
      <c r="G34" s="109">
        <v>18873.329999999998</v>
      </c>
      <c r="H34" s="109">
        <v>18873.329999999998</v>
      </c>
      <c r="I34" s="109">
        <v>18873.329999999998</v>
      </c>
      <c r="J34" s="110">
        <v>51620.854999999996</v>
      </c>
      <c r="K34" s="110">
        <v>51620.854999999996</v>
      </c>
      <c r="L34" s="129">
        <v>-574189.14500000002</v>
      </c>
      <c r="M34" s="130">
        <v>51620.854999999996</v>
      </c>
      <c r="N34" s="129">
        <v>143054.815</v>
      </c>
      <c r="O34" s="129">
        <v>143054.815</v>
      </c>
      <c r="P34" s="129">
        <v>143054.815</v>
      </c>
      <c r="Q34" s="129">
        <v>143054.815</v>
      </c>
      <c r="R34" s="129">
        <v>141517.435</v>
      </c>
      <c r="S34" s="129">
        <v>141517.435</v>
      </c>
    </row>
    <row r="35" spans="1:19">
      <c r="A35" s="85" t="s">
        <v>49</v>
      </c>
      <c r="B35" s="85" t="s">
        <v>108</v>
      </c>
      <c r="C35" s="86" t="s">
        <v>132</v>
      </c>
      <c r="D35">
        <v>1900</v>
      </c>
      <c r="E35" s="105" t="s">
        <v>105</v>
      </c>
      <c r="F35" s="109">
        <v>267.51</v>
      </c>
      <c r="G35" s="109">
        <v>267.51</v>
      </c>
      <c r="H35" s="109">
        <v>267.51</v>
      </c>
      <c r="I35" s="109">
        <v>267.51</v>
      </c>
      <c r="J35" s="110">
        <v>263.89499999999998</v>
      </c>
      <c r="K35" s="110">
        <v>263.89499999999998</v>
      </c>
      <c r="L35" s="129">
        <v>263.89499999999998</v>
      </c>
      <c r="M35" s="130">
        <v>263.89499999999998</v>
      </c>
      <c r="N35" s="129">
        <v>263.89499999999998</v>
      </c>
      <c r="O35" s="129">
        <v>263.89499999999998</v>
      </c>
      <c r="P35" s="129">
        <v>263.89499999999998</v>
      </c>
      <c r="Q35" s="129">
        <v>263.89499999999998</v>
      </c>
      <c r="R35" s="129">
        <v>0</v>
      </c>
      <c r="S35" s="129">
        <v>0</v>
      </c>
    </row>
    <row r="36" spans="1:19">
      <c r="A36" s="77" t="s">
        <v>50</v>
      </c>
      <c r="B36" s="77" t="s">
        <v>107</v>
      </c>
      <c r="C36" s="81" t="s">
        <v>153</v>
      </c>
      <c r="D36">
        <v>1900</v>
      </c>
      <c r="E36" s="105" t="s">
        <v>105</v>
      </c>
      <c r="F36" s="109">
        <v>217029.41999999998</v>
      </c>
      <c r="G36" s="109">
        <v>217029.41999999998</v>
      </c>
      <c r="H36" s="109">
        <v>217029.41999999998</v>
      </c>
      <c r="I36" s="109">
        <v>217029.41999999998</v>
      </c>
      <c r="J36" s="110">
        <v>3901046.27</v>
      </c>
      <c r="K36" s="110">
        <v>3901046.27</v>
      </c>
      <c r="L36" s="129">
        <v>3901046.27</v>
      </c>
      <c r="M36" s="130">
        <v>9830688.0800000001</v>
      </c>
      <c r="N36" s="129">
        <v>10238363.879999999</v>
      </c>
      <c r="O36" s="129">
        <v>10238355.85</v>
      </c>
      <c r="P36" s="129">
        <v>10238392.897499999</v>
      </c>
      <c r="Q36" s="129">
        <v>9163625.0299999993</v>
      </c>
      <c r="R36" s="129">
        <v>10525870</v>
      </c>
      <c r="S36" s="129">
        <v>10525877.446</v>
      </c>
    </row>
    <row r="37" spans="1:19">
      <c r="A37" s="85" t="s">
        <v>50</v>
      </c>
      <c r="B37" s="85" t="s">
        <v>108</v>
      </c>
      <c r="C37" s="86" t="s">
        <v>153</v>
      </c>
      <c r="D37">
        <v>1900</v>
      </c>
      <c r="E37" s="105" t="s">
        <v>105</v>
      </c>
      <c r="F37" s="109">
        <v>15210.33</v>
      </c>
      <c r="G37" s="109">
        <v>15210.33</v>
      </c>
      <c r="H37" s="109">
        <v>15210.33</v>
      </c>
      <c r="I37" s="109">
        <v>15210.33</v>
      </c>
      <c r="J37" s="110">
        <v>16325.355</v>
      </c>
      <c r="K37" s="110">
        <v>16325.355</v>
      </c>
      <c r="L37" s="129">
        <v>16325.355</v>
      </c>
      <c r="M37" s="130">
        <v>0</v>
      </c>
      <c r="N37" s="129">
        <v>0</v>
      </c>
      <c r="O37" s="129">
        <v>0</v>
      </c>
      <c r="P37" s="129">
        <v>0</v>
      </c>
      <c r="Q37" s="129">
        <v>0</v>
      </c>
      <c r="R37" s="129">
        <v>0</v>
      </c>
      <c r="S37" s="129">
        <v>0</v>
      </c>
    </row>
    <row r="38" spans="1:19">
      <c r="A38" s="77" t="s">
        <v>54</v>
      </c>
      <c r="B38" s="77" t="s">
        <v>107</v>
      </c>
      <c r="C38" s="81" t="s">
        <v>133</v>
      </c>
      <c r="D38">
        <v>2830</v>
      </c>
      <c r="E38" s="105" t="s">
        <v>109</v>
      </c>
      <c r="F38" s="109">
        <v>-981754.29999999993</v>
      </c>
      <c r="G38" s="109">
        <v>-981754.29999999993</v>
      </c>
      <c r="H38" s="109">
        <v>-981754.29999999993</v>
      </c>
      <c r="I38" s="109">
        <v>-981754.29999999993</v>
      </c>
      <c r="J38" s="110">
        <v>-435311.77499999997</v>
      </c>
      <c r="K38" s="110">
        <v>-435311.77499999997</v>
      </c>
      <c r="L38" s="129">
        <v>-435311.77499999997</v>
      </c>
      <c r="M38" s="130">
        <v>-435311.77499999997</v>
      </c>
      <c r="N38" s="129">
        <v>-2734850.1</v>
      </c>
      <c r="O38" s="129">
        <v>-2734850.1</v>
      </c>
      <c r="P38" s="129">
        <v>-2734850.1</v>
      </c>
      <c r="Q38" s="129">
        <v>-2734850.1</v>
      </c>
      <c r="R38" s="129">
        <v>-2775517.3049999997</v>
      </c>
      <c r="S38" s="129">
        <v>-2775517.3049999997</v>
      </c>
    </row>
    <row r="39" spans="1:19">
      <c r="A39" s="85" t="s">
        <v>54</v>
      </c>
      <c r="B39" s="85" t="s">
        <v>108</v>
      </c>
      <c r="C39" s="86" t="s">
        <v>133</v>
      </c>
      <c r="D39">
        <v>2830</v>
      </c>
      <c r="E39" s="105" t="s">
        <v>109</v>
      </c>
      <c r="F39" s="109">
        <v>-944022.80999999994</v>
      </c>
      <c r="G39" s="109">
        <v>-944022.80999999994</v>
      </c>
      <c r="H39" s="109">
        <v>-944022.80999999994</v>
      </c>
      <c r="I39" s="109">
        <v>-944022.80999999994</v>
      </c>
      <c r="J39" s="110">
        <v>-1376000.3599999999</v>
      </c>
      <c r="K39" s="110">
        <v>-1376000.3599999999</v>
      </c>
      <c r="L39" s="129">
        <v>-1376000.3599999999</v>
      </c>
      <c r="M39" s="130">
        <v>-1376000.3599999999</v>
      </c>
      <c r="N39" s="129">
        <v>0.36499999999999999</v>
      </c>
      <c r="O39" s="129">
        <v>0.36499999999999999</v>
      </c>
      <c r="P39" s="129">
        <v>0.36499999999999999</v>
      </c>
      <c r="Q39" s="129">
        <v>0</v>
      </c>
      <c r="R39" s="129">
        <v>0</v>
      </c>
      <c r="S39" s="129">
        <v>0</v>
      </c>
    </row>
    <row r="40" spans="1:19">
      <c r="A40" s="85" t="s">
        <v>198</v>
      </c>
      <c r="B40" s="77" t="s">
        <v>107</v>
      </c>
      <c r="C40" s="86" t="s">
        <v>199</v>
      </c>
      <c r="D40">
        <v>1900</v>
      </c>
      <c r="E40" s="105" t="s">
        <v>105</v>
      </c>
      <c r="F40" s="109"/>
      <c r="G40" s="109"/>
      <c r="H40" s="109"/>
      <c r="I40" s="109"/>
      <c r="J40" s="110"/>
      <c r="K40" s="110"/>
      <c r="L40" s="129"/>
      <c r="M40" s="129">
        <v>-53512</v>
      </c>
      <c r="N40" s="129"/>
      <c r="O40" s="129"/>
      <c r="P40" s="129"/>
      <c r="Q40" s="129"/>
      <c r="R40" s="129"/>
      <c r="S40" s="129"/>
    </row>
    <row r="41" spans="1:19">
      <c r="A41" s="77" t="s">
        <v>56</v>
      </c>
      <c r="B41" s="77" t="s">
        <v>107</v>
      </c>
      <c r="C41" s="81" t="s">
        <v>157</v>
      </c>
      <c r="D41">
        <v>1900</v>
      </c>
      <c r="E41" s="105" t="s">
        <v>105</v>
      </c>
      <c r="F41" s="109">
        <v>332079.81</v>
      </c>
      <c r="G41" s="109">
        <v>332079.81</v>
      </c>
      <c r="H41" s="109">
        <v>332079.81</v>
      </c>
      <c r="I41" s="109">
        <v>332079.81</v>
      </c>
      <c r="J41" s="110">
        <v>327592.245</v>
      </c>
      <c r="K41" s="110">
        <v>327592.245</v>
      </c>
      <c r="L41" s="129">
        <v>327592.245</v>
      </c>
      <c r="M41" s="130">
        <v>327592.245</v>
      </c>
      <c r="N41" s="129">
        <v>327592.245</v>
      </c>
      <c r="O41" s="129">
        <v>327592.245</v>
      </c>
      <c r="P41" s="129">
        <v>327592.245</v>
      </c>
      <c r="Q41" s="129">
        <v>0</v>
      </c>
      <c r="R41" s="129">
        <v>0</v>
      </c>
      <c r="S41" s="129">
        <v>0</v>
      </c>
    </row>
    <row r="42" spans="1:19">
      <c r="A42" s="77" t="s">
        <v>58</v>
      </c>
      <c r="B42" s="77" t="s">
        <v>107</v>
      </c>
      <c r="C42" s="81" t="s">
        <v>158</v>
      </c>
      <c r="D42">
        <v>2830</v>
      </c>
      <c r="E42" s="105" t="s">
        <v>109</v>
      </c>
      <c r="F42" s="109">
        <v>-411878.08</v>
      </c>
      <c r="G42" s="109">
        <v>-411878.08</v>
      </c>
      <c r="H42" s="109">
        <v>-411878.08</v>
      </c>
      <c r="I42" s="109">
        <v>-411878.08</v>
      </c>
      <c r="J42" s="110">
        <v>-87251.79</v>
      </c>
      <c r="K42" s="110">
        <v>-87251.79</v>
      </c>
      <c r="L42" s="129">
        <v>-87251.79</v>
      </c>
      <c r="M42" s="130">
        <v>-87251.79</v>
      </c>
      <c r="N42" s="129">
        <v>-79205</v>
      </c>
      <c r="O42" s="129">
        <v>-79205</v>
      </c>
      <c r="P42" s="129">
        <v>-79205</v>
      </c>
      <c r="Q42" s="129">
        <v>-79205</v>
      </c>
      <c r="R42" s="129">
        <v>117990.62999999999</v>
      </c>
      <c r="S42" s="129">
        <v>117990.62999999999</v>
      </c>
    </row>
    <row r="43" spans="1:19">
      <c r="A43" s="77" t="s">
        <v>201</v>
      </c>
      <c r="B43" s="77" t="s">
        <v>107</v>
      </c>
      <c r="C43" s="81" t="s">
        <v>200</v>
      </c>
      <c r="D43">
        <v>1900</v>
      </c>
      <c r="E43" s="105" t="s">
        <v>105</v>
      </c>
      <c r="F43" s="109"/>
      <c r="G43" s="109"/>
      <c r="H43" s="109"/>
      <c r="I43" s="109"/>
      <c r="J43" s="110"/>
      <c r="K43" s="110"/>
      <c r="L43" s="129"/>
      <c r="M43" s="130"/>
      <c r="N43" s="129">
        <v>-1085318</v>
      </c>
      <c r="O43" s="129">
        <v>-1085318</v>
      </c>
      <c r="P43" s="129">
        <v>-1085318</v>
      </c>
      <c r="Q43" s="129">
        <v>0</v>
      </c>
      <c r="R43" s="129">
        <v>-6968861</v>
      </c>
      <c r="S43" s="129">
        <v>-6968861</v>
      </c>
    </row>
    <row r="44" spans="1:19">
      <c r="A44" s="80" t="s">
        <v>64</v>
      </c>
      <c r="B44" s="77" t="s">
        <v>107</v>
      </c>
      <c r="C44" s="81" t="s">
        <v>181</v>
      </c>
      <c r="D44">
        <v>1900</v>
      </c>
      <c r="E44" s="105" t="s">
        <v>105</v>
      </c>
      <c r="F44" s="109">
        <v>-6</v>
      </c>
      <c r="G44" s="109">
        <v>-6</v>
      </c>
      <c r="H44" s="109">
        <v>-6</v>
      </c>
      <c r="I44" s="109">
        <v>-6</v>
      </c>
      <c r="J44" s="110">
        <v>0</v>
      </c>
      <c r="K44" s="110">
        <v>0</v>
      </c>
      <c r="L44" s="129">
        <v>0</v>
      </c>
      <c r="M44" s="130">
        <v>0</v>
      </c>
      <c r="N44" s="129">
        <v>0</v>
      </c>
      <c r="O44" s="129">
        <v>0</v>
      </c>
      <c r="P44" s="129">
        <v>0</v>
      </c>
      <c r="Q44" s="129">
        <v>0</v>
      </c>
      <c r="R44" s="129">
        <v>0</v>
      </c>
      <c r="S44" s="129">
        <v>1.8395999999999999</v>
      </c>
    </row>
    <row r="45" spans="1:19">
      <c r="A45" s="77" t="s">
        <v>24</v>
      </c>
      <c r="B45" s="77" t="s">
        <v>107</v>
      </c>
      <c r="C45" s="81" t="s">
        <v>159</v>
      </c>
      <c r="D45">
        <v>2830</v>
      </c>
      <c r="E45" s="105" t="s">
        <v>109</v>
      </c>
      <c r="F45" s="109">
        <v>-14371401.619999999</v>
      </c>
      <c r="G45" s="109">
        <f>F45</f>
        <v>-14371401.619999999</v>
      </c>
      <c r="H45" s="109">
        <f>G45</f>
        <v>-14371401.619999999</v>
      </c>
      <c r="I45" s="109">
        <f>H45</f>
        <v>-14371401.619999999</v>
      </c>
      <c r="J45" s="110">
        <v>-33124190.919999998</v>
      </c>
      <c r="K45" s="110">
        <f>J45</f>
        <v>-33124190.919999998</v>
      </c>
      <c r="L45" s="129">
        <v>-32646305.690999996</v>
      </c>
      <c r="M45" s="130">
        <v>-23677437.944999997</v>
      </c>
      <c r="N45" s="129">
        <v>-24112538.384999998</v>
      </c>
      <c r="O45" s="129">
        <v>-22636639.904799998</v>
      </c>
      <c r="P45" s="129">
        <v>-23731818.309499998</v>
      </c>
      <c r="Q45" s="129">
        <v>-19344696.728799999</v>
      </c>
      <c r="R45" s="129">
        <v>-18218574.960000001</v>
      </c>
      <c r="S45" s="129">
        <v>-16687700.355</v>
      </c>
    </row>
    <row r="46" spans="1:19">
      <c r="A46" s="77" t="s">
        <v>24</v>
      </c>
      <c r="B46" s="77" t="s">
        <v>107</v>
      </c>
      <c r="C46" s="81" t="s">
        <v>159</v>
      </c>
      <c r="D46">
        <v>2820</v>
      </c>
      <c r="E46" s="106" t="s">
        <v>106</v>
      </c>
      <c r="F46" s="109"/>
      <c r="G46" s="109">
        <f>-14606177-F45</f>
        <v>-234775.38000000082</v>
      </c>
      <c r="H46" s="109">
        <f>-13981554-F45</f>
        <v>389847.61999999918</v>
      </c>
      <c r="I46" s="109">
        <f>-21720132-F45</f>
        <v>-7348730.3800000008</v>
      </c>
      <c r="J46" s="110"/>
      <c r="K46" s="110">
        <f>-33362509-J45</f>
        <v>-238318.08000000194</v>
      </c>
      <c r="L46" s="129"/>
      <c r="M46" s="130"/>
      <c r="N46" s="129"/>
      <c r="O46" s="129"/>
      <c r="P46" s="129"/>
      <c r="Q46" s="129"/>
      <c r="R46" s="129"/>
      <c r="S46" s="129"/>
    </row>
    <row r="47" spans="1:19">
      <c r="A47" s="77" t="s">
        <v>25</v>
      </c>
      <c r="B47" s="77" t="s">
        <v>107</v>
      </c>
      <c r="C47" s="82" t="s">
        <v>160</v>
      </c>
      <c r="D47">
        <v>1900</v>
      </c>
      <c r="E47" s="105" t="s">
        <v>105</v>
      </c>
      <c r="F47" s="109">
        <v>5277352.55</v>
      </c>
      <c r="G47" s="109">
        <f>F47</f>
        <v>5277352.55</v>
      </c>
      <c r="H47" s="109">
        <f>G47</f>
        <v>5277352.55</v>
      </c>
      <c r="I47" s="109">
        <f>H47</f>
        <v>5277352.55</v>
      </c>
      <c r="J47" s="110">
        <v>7012097.4900000002</v>
      </c>
      <c r="K47" s="110">
        <f>J47</f>
        <v>7012097.4900000002</v>
      </c>
      <c r="L47" s="129">
        <v>7232819.0343999993</v>
      </c>
      <c r="M47" s="130">
        <v>7402086.6346499985</v>
      </c>
      <c r="N47" s="129">
        <v>7681104.5300000003</v>
      </c>
      <c r="O47" s="129">
        <v>7695716.9910999993</v>
      </c>
      <c r="P47" s="129">
        <v>7858471.0422499999</v>
      </c>
      <c r="Q47" s="129">
        <v>7986733.6081000008</v>
      </c>
      <c r="R47" s="129">
        <v>8296706.5949999997</v>
      </c>
      <c r="S47" s="129">
        <v>8291684.7972499989</v>
      </c>
    </row>
    <row r="48" spans="1:19">
      <c r="A48" s="77" t="s">
        <v>25</v>
      </c>
      <c r="B48" s="77" t="s">
        <v>107</v>
      </c>
      <c r="C48" s="81" t="s">
        <v>160</v>
      </c>
      <c r="D48">
        <v>2820</v>
      </c>
      <c r="E48" s="106" t="s">
        <v>106</v>
      </c>
      <c r="F48" s="109"/>
      <c r="G48" s="109">
        <f>6525746-F47</f>
        <v>1248393.4500000002</v>
      </c>
      <c r="H48" s="109">
        <f>6861699-F47</f>
        <v>1584346.4500000002</v>
      </c>
      <c r="I48" s="109">
        <f>7029366-F47</f>
        <v>1752013.4500000002</v>
      </c>
      <c r="J48" s="110"/>
      <c r="K48" s="110">
        <f>7089844-J47</f>
        <v>77746.509999999776</v>
      </c>
      <c r="L48" s="129"/>
      <c r="M48" s="130"/>
      <c r="N48" s="129"/>
      <c r="O48" s="129"/>
      <c r="P48" s="129"/>
      <c r="Q48" s="129"/>
      <c r="R48" s="129"/>
      <c r="S48" s="129"/>
    </row>
    <row r="49" spans="1:19">
      <c r="A49" s="85" t="s">
        <v>25</v>
      </c>
      <c r="B49" s="85" t="s">
        <v>108</v>
      </c>
      <c r="C49" s="86" t="s">
        <v>160</v>
      </c>
      <c r="D49">
        <v>1900</v>
      </c>
      <c r="E49" s="105" t="s">
        <v>105</v>
      </c>
      <c r="F49" s="109">
        <v>0</v>
      </c>
      <c r="G49" s="109">
        <v>0</v>
      </c>
      <c r="H49" s="109">
        <v>0</v>
      </c>
      <c r="I49" s="109">
        <v>0</v>
      </c>
      <c r="J49" s="110">
        <v>-834.02499999999998</v>
      </c>
      <c r="K49" s="110">
        <v>-834.02499999999998</v>
      </c>
      <c r="L49" s="129">
        <v>-834.02499999999998</v>
      </c>
      <c r="M49" s="130">
        <v>-834.02499999999998</v>
      </c>
      <c r="N49" s="129">
        <v>0</v>
      </c>
      <c r="O49" s="129">
        <v>0</v>
      </c>
      <c r="P49" s="129">
        <v>0</v>
      </c>
      <c r="Q49" s="129">
        <v>0</v>
      </c>
      <c r="R49" s="129">
        <v>0</v>
      </c>
      <c r="S49" s="129">
        <v>0</v>
      </c>
    </row>
    <row r="50" spans="1:19">
      <c r="A50" s="77" t="s">
        <v>59</v>
      </c>
      <c r="B50" s="77" t="s">
        <v>107</v>
      </c>
      <c r="C50" s="81" t="s">
        <v>161</v>
      </c>
      <c r="D50">
        <v>1900</v>
      </c>
      <c r="E50" s="105" t="s">
        <v>105</v>
      </c>
      <c r="F50" s="111">
        <v>9790.2000000000007</v>
      </c>
      <c r="G50" s="111">
        <v>9790.2000000000007</v>
      </c>
      <c r="H50" s="111">
        <v>9790.2000000000007</v>
      </c>
      <c r="I50" s="111">
        <v>9790.2000000000007</v>
      </c>
      <c r="J50" s="112">
        <v>5022.0349999999999</v>
      </c>
      <c r="K50" s="112">
        <v>5022.0349999999999</v>
      </c>
      <c r="L50" s="133">
        <v>5022.0349999999999</v>
      </c>
      <c r="M50" s="142">
        <v>5022.0349999999999</v>
      </c>
      <c r="N50" s="133">
        <v>386.17</v>
      </c>
      <c r="O50" s="133">
        <v>386.17</v>
      </c>
      <c r="P50" s="133">
        <v>386.17</v>
      </c>
      <c r="Q50" s="133">
        <v>386.17</v>
      </c>
      <c r="R50" s="133">
        <v>0</v>
      </c>
      <c r="S50" s="133">
        <v>0</v>
      </c>
    </row>
    <row r="51" spans="1:19">
      <c r="D51" t="s">
        <v>102</v>
      </c>
      <c r="F51" s="102">
        <f t="shared" ref="F51:S51" si="0">SUM(F10:F50)</f>
        <v>31090331.060000002</v>
      </c>
      <c r="G51" s="102">
        <f t="shared" si="0"/>
        <v>32311090.849999998</v>
      </c>
      <c r="H51" s="102">
        <f t="shared" si="0"/>
        <v>33583325.070000008</v>
      </c>
      <c r="I51" s="102">
        <f t="shared" si="0"/>
        <v>26327599.070000004</v>
      </c>
      <c r="J51" s="102">
        <f t="shared" si="0"/>
        <v>24168369.360000003</v>
      </c>
      <c r="K51" s="102">
        <f t="shared" si="0"/>
        <v>23760461.650000002</v>
      </c>
      <c r="L51" s="102">
        <f t="shared" si="0"/>
        <v>25101715.237450007</v>
      </c>
      <c r="M51" s="102">
        <f t="shared" si="0"/>
        <v>38113734.33935</v>
      </c>
      <c r="N51" s="102">
        <f>SUM(N10:N50)</f>
        <v>42254420.285000011</v>
      </c>
      <c r="O51" s="102">
        <f t="shared" si="0"/>
        <v>39500583.056550004</v>
      </c>
      <c r="P51" s="102">
        <f t="shared" si="0"/>
        <v>38923160.907700002</v>
      </c>
      <c r="Q51" s="102">
        <f t="shared" si="0"/>
        <v>41822875.913200006</v>
      </c>
      <c r="R51" s="102">
        <f t="shared" si="0"/>
        <v>43997603.120000005</v>
      </c>
      <c r="S51" s="102">
        <f t="shared" si="0"/>
        <v>44213079.463300005</v>
      </c>
    </row>
    <row r="52" spans="1:19">
      <c r="D52" t="s">
        <v>102</v>
      </c>
      <c r="L52" s="129"/>
      <c r="M52" s="129"/>
      <c r="N52" s="129"/>
      <c r="O52" s="129"/>
      <c r="P52" s="129"/>
      <c r="Q52" s="129"/>
      <c r="R52" s="129"/>
      <c r="S52" s="129"/>
    </row>
    <row r="53" spans="1:19">
      <c r="D53" t="s">
        <v>102</v>
      </c>
      <c r="L53" s="129"/>
      <c r="M53" s="129"/>
      <c r="N53" s="129"/>
      <c r="O53" s="129"/>
      <c r="P53" s="129"/>
      <c r="Q53" s="129"/>
      <c r="R53" s="129"/>
      <c r="S53" s="129"/>
    </row>
    <row r="54" spans="1:19">
      <c r="D54" t="s">
        <v>102</v>
      </c>
      <c r="L54" s="129"/>
      <c r="M54" s="129"/>
      <c r="N54" s="129"/>
      <c r="O54" s="129"/>
      <c r="P54" s="129"/>
      <c r="Q54" s="129"/>
      <c r="R54" s="129"/>
      <c r="S54" s="129"/>
    </row>
    <row r="55" spans="1:19">
      <c r="A55" s="77" t="s">
        <v>28</v>
      </c>
      <c r="B55" s="77" t="s">
        <v>107</v>
      </c>
      <c r="C55" s="81" t="s">
        <v>142</v>
      </c>
      <c r="D55">
        <v>2820</v>
      </c>
      <c r="E55" s="106" t="s">
        <v>106</v>
      </c>
      <c r="F55" s="109">
        <v>-23376950.759999998</v>
      </c>
      <c r="G55" s="109">
        <v>-24924514.055</v>
      </c>
      <c r="H55" s="109">
        <v>-26580944.114999998</v>
      </c>
      <c r="I55" s="109">
        <v>-28182940.792499997</v>
      </c>
      <c r="J55" s="110">
        <v>-25410638.620000001</v>
      </c>
      <c r="K55" s="110">
        <v>-28871903.406001084</v>
      </c>
      <c r="L55" s="129">
        <v>-31023559.507002164</v>
      </c>
      <c r="M55" s="130">
        <v>-32296679.859532997</v>
      </c>
      <c r="N55" s="129">
        <v>-28039051.800000001</v>
      </c>
      <c r="O55" s="129">
        <v>-34474533.787500001</v>
      </c>
      <c r="P55" s="129">
        <v>-34548969.149999999</v>
      </c>
      <c r="Q55" s="129">
        <v>-34949889.894999996</v>
      </c>
      <c r="R55" s="129">
        <v>-29709043.234999999</v>
      </c>
      <c r="S55" s="129">
        <v>-30705388.114999998</v>
      </c>
    </row>
    <row r="56" spans="1:19">
      <c r="A56" s="85" t="s">
        <v>28</v>
      </c>
      <c r="B56" s="85" t="s">
        <v>108</v>
      </c>
      <c r="C56" s="86" t="s">
        <v>142</v>
      </c>
      <c r="D56">
        <v>2820</v>
      </c>
      <c r="E56" s="106" t="s">
        <v>106</v>
      </c>
      <c r="F56" s="109">
        <v>-40064056.950000003</v>
      </c>
      <c r="G56" s="109">
        <v>-40064056.950000003</v>
      </c>
      <c r="H56" s="109">
        <v>-40064056.950000003</v>
      </c>
      <c r="I56" s="109">
        <v>-40064056.950000003</v>
      </c>
      <c r="J56" s="110">
        <v>-37322078.185000002</v>
      </c>
      <c r="K56" s="110">
        <v>-37322078.185000002</v>
      </c>
      <c r="L56" s="129">
        <v>-37354334.695</v>
      </c>
      <c r="M56" s="130">
        <v>-37353819.314999998</v>
      </c>
      <c r="N56" s="129">
        <v>-41977226.134999998</v>
      </c>
      <c r="O56" s="129">
        <v>-41977226.134999998</v>
      </c>
      <c r="P56" s="129">
        <v>-41977226.134999998</v>
      </c>
      <c r="Q56" s="129">
        <v>-42642422.210000001</v>
      </c>
      <c r="R56" s="129">
        <v>-44928320.119999997</v>
      </c>
      <c r="S56" s="129">
        <v>-44928320.119999997</v>
      </c>
    </row>
    <row r="57" spans="1:19">
      <c r="A57" s="77" t="s">
        <v>30</v>
      </c>
      <c r="B57" s="77" t="s">
        <v>107</v>
      </c>
      <c r="C57" s="81" t="s">
        <v>143</v>
      </c>
      <c r="D57">
        <v>2820</v>
      </c>
      <c r="E57" s="106" t="s">
        <v>106</v>
      </c>
      <c r="F57" s="109">
        <v>3959843.6</v>
      </c>
      <c r="G57" s="109">
        <v>3959843.6000000006</v>
      </c>
      <c r="H57" s="109">
        <v>3959843.6000000006</v>
      </c>
      <c r="I57" s="109">
        <v>3959843.600000002</v>
      </c>
      <c r="J57" s="110">
        <f>1649840.515-33512</f>
        <v>1616328.5149999999</v>
      </c>
      <c r="K57" s="110">
        <f>413438.505719935-33512</f>
        <v>379926.505719935</v>
      </c>
      <c r="L57" s="129">
        <v>4153132.3464289326</v>
      </c>
      <c r="M57" s="130">
        <v>-1458874.3253999976</v>
      </c>
      <c r="N57" s="129">
        <v>9749995.7050000001</v>
      </c>
      <c r="O57" s="129">
        <v>8402905.2055875007</v>
      </c>
      <c r="P57" s="129">
        <v>7048607.7811750006</v>
      </c>
      <c r="Q57" s="129">
        <v>5865229.610299997</v>
      </c>
      <c r="R57" s="129">
        <v>12402960.244999999</v>
      </c>
      <c r="S57" s="129">
        <v>11288987.745618353</v>
      </c>
    </row>
    <row r="58" spans="1:19">
      <c r="A58" s="85" t="s">
        <v>30</v>
      </c>
      <c r="B58" s="85" t="s">
        <v>108</v>
      </c>
      <c r="C58" s="86" t="s">
        <v>143</v>
      </c>
      <c r="D58">
        <v>2820</v>
      </c>
      <c r="E58" s="106" t="s">
        <v>106</v>
      </c>
      <c r="F58" s="109">
        <v>30038691.239999998</v>
      </c>
      <c r="G58" s="109">
        <v>30038691.239999998</v>
      </c>
      <c r="H58" s="109">
        <v>30038691.239999998</v>
      </c>
      <c r="I58" s="109">
        <v>30038691.239999998</v>
      </c>
      <c r="J58" s="110">
        <v>26306712.890000001</v>
      </c>
      <c r="K58" s="110">
        <v>26306712.890000001</v>
      </c>
      <c r="L58" s="129">
        <v>31534460.065000001</v>
      </c>
      <c r="M58" s="130">
        <v>31534372.829999998</v>
      </c>
      <c r="N58" s="129">
        <v>13565417.719999999</v>
      </c>
      <c r="O58" s="129">
        <v>13565417.719999999</v>
      </c>
      <c r="P58" s="129">
        <v>13565417.719999999</v>
      </c>
      <c r="Q58" s="129">
        <v>13678920.674999999</v>
      </c>
      <c r="R58" s="129">
        <v>15306527.58</v>
      </c>
      <c r="S58" s="129">
        <v>15306527.58</v>
      </c>
    </row>
    <row r="59" spans="1:19">
      <c r="A59" s="77" t="s">
        <v>32</v>
      </c>
      <c r="B59" s="77" t="s">
        <v>107</v>
      </c>
      <c r="C59" s="81" t="s">
        <v>144</v>
      </c>
      <c r="D59">
        <v>2820</v>
      </c>
      <c r="E59" s="106" t="s">
        <v>106</v>
      </c>
      <c r="F59" s="109">
        <v>556808.55999999994</v>
      </c>
      <c r="G59" s="109">
        <v>556808.55999999994</v>
      </c>
      <c r="H59" s="109">
        <v>556808.55999999994</v>
      </c>
      <c r="I59" s="109">
        <v>556808.55999999994</v>
      </c>
      <c r="J59" s="110">
        <v>549284.12</v>
      </c>
      <c r="K59" s="110">
        <v>549284.12</v>
      </c>
      <c r="L59" s="129">
        <v>549284.12</v>
      </c>
      <c r="M59" s="130">
        <v>549284.12</v>
      </c>
      <c r="N59" s="129">
        <v>549284.12</v>
      </c>
      <c r="O59" s="129">
        <v>549284.12</v>
      </c>
      <c r="P59" s="129">
        <v>549284.12</v>
      </c>
      <c r="Q59" s="129">
        <v>549284.12</v>
      </c>
      <c r="R59" s="129">
        <v>549284.12</v>
      </c>
      <c r="S59" s="129">
        <v>549284.12</v>
      </c>
    </row>
    <row r="60" spans="1:19">
      <c r="A60" s="77" t="s">
        <v>33</v>
      </c>
      <c r="B60" s="77" t="s">
        <v>107</v>
      </c>
      <c r="C60" s="81" t="s">
        <v>145</v>
      </c>
      <c r="D60">
        <v>2820</v>
      </c>
      <c r="E60" s="106" t="s">
        <v>106</v>
      </c>
      <c r="F60" s="109">
        <v>67557.19</v>
      </c>
      <c r="G60" s="109">
        <v>67557.19</v>
      </c>
      <c r="H60" s="109">
        <v>67557.19</v>
      </c>
      <c r="I60" s="109">
        <v>67557.19</v>
      </c>
      <c r="J60" s="110">
        <v>66647.904999999999</v>
      </c>
      <c r="K60" s="110">
        <v>66647.904999999999</v>
      </c>
      <c r="L60" s="129">
        <v>66647.904999999999</v>
      </c>
      <c r="M60" s="130">
        <v>66647.904999999999</v>
      </c>
      <c r="N60" s="129">
        <v>66647.904999999999</v>
      </c>
      <c r="O60" s="129">
        <v>66647.904999999999</v>
      </c>
      <c r="P60" s="129">
        <v>66647.904999999999</v>
      </c>
      <c r="Q60" s="129">
        <v>66647.904999999999</v>
      </c>
      <c r="R60" s="129">
        <v>66647.904999999999</v>
      </c>
      <c r="S60" s="129">
        <v>66647.904999999999</v>
      </c>
    </row>
    <row r="61" spans="1:19">
      <c r="A61" s="77" t="s">
        <v>34</v>
      </c>
      <c r="B61" s="77" t="s">
        <v>107</v>
      </c>
      <c r="C61" s="81" t="s">
        <v>175</v>
      </c>
      <c r="D61">
        <v>2820</v>
      </c>
      <c r="E61" s="106" t="s">
        <v>106</v>
      </c>
      <c r="F61" s="109">
        <v>1874769.28</v>
      </c>
      <c r="G61" s="109">
        <v>1874769.28</v>
      </c>
      <c r="H61" s="109">
        <v>1874769.28</v>
      </c>
      <c r="I61" s="109">
        <v>1874769.28</v>
      </c>
      <c r="J61" s="110">
        <v>0</v>
      </c>
      <c r="K61" s="110">
        <v>0</v>
      </c>
      <c r="L61" s="129">
        <v>0</v>
      </c>
      <c r="M61" s="130">
        <v>0</v>
      </c>
      <c r="N61" s="129">
        <v>0</v>
      </c>
      <c r="O61" s="129">
        <v>0</v>
      </c>
      <c r="P61" s="129">
        <v>0</v>
      </c>
      <c r="Q61" s="129">
        <v>0</v>
      </c>
      <c r="R61" s="129">
        <v>0</v>
      </c>
      <c r="S61" s="129">
        <v>0</v>
      </c>
    </row>
    <row r="62" spans="1:19">
      <c r="A62" s="77" t="s">
        <v>35</v>
      </c>
      <c r="B62" s="77" t="s">
        <v>107</v>
      </c>
      <c r="C62" s="81" t="s">
        <v>176</v>
      </c>
      <c r="D62">
        <v>2820</v>
      </c>
      <c r="E62" s="106" t="s">
        <v>106</v>
      </c>
      <c r="F62" s="109">
        <v>-516057.87</v>
      </c>
      <c r="G62" s="109">
        <v>-516057.87</v>
      </c>
      <c r="H62" s="109">
        <v>-516057.87</v>
      </c>
      <c r="I62" s="109">
        <v>-516057.87</v>
      </c>
      <c r="J62" s="110">
        <v>0</v>
      </c>
      <c r="K62" s="110">
        <v>0</v>
      </c>
      <c r="L62" s="129">
        <v>0</v>
      </c>
      <c r="M62" s="130">
        <v>0</v>
      </c>
      <c r="N62" s="129">
        <v>0</v>
      </c>
      <c r="O62" s="129">
        <v>0</v>
      </c>
      <c r="P62" s="129">
        <v>0</v>
      </c>
      <c r="Q62" s="129">
        <v>0</v>
      </c>
      <c r="R62" s="129">
        <v>0</v>
      </c>
      <c r="S62" s="129">
        <v>0</v>
      </c>
    </row>
    <row r="63" spans="1:19">
      <c r="A63" s="77" t="s">
        <v>26</v>
      </c>
      <c r="B63" s="77" t="s">
        <v>107</v>
      </c>
      <c r="C63" s="81" t="s">
        <v>146</v>
      </c>
      <c r="D63">
        <v>2820</v>
      </c>
      <c r="E63" s="106" t="s">
        <v>106</v>
      </c>
      <c r="F63" s="109">
        <v>204464.96</v>
      </c>
      <c r="G63" s="109">
        <v>204464.96</v>
      </c>
      <c r="H63" s="109">
        <v>204464.96</v>
      </c>
      <c r="I63" s="109">
        <v>204464.96</v>
      </c>
      <c r="J63" s="110">
        <v>-354578.88500000001</v>
      </c>
      <c r="K63" s="110">
        <v>-354578.88500000001</v>
      </c>
      <c r="L63" s="129">
        <v>244017.46499999997</v>
      </c>
      <c r="M63" s="130">
        <v>-469719.23</v>
      </c>
      <c r="N63" s="129">
        <v>92567.65</v>
      </c>
      <c r="O63" s="129">
        <v>92567.65</v>
      </c>
      <c r="P63" s="129">
        <v>92567.65</v>
      </c>
      <c r="Q63" s="129">
        <v>39014.85</v>
      </c>
      <c r="R63" s="129">
        <v>297079.33999999997</v>
      </c>
      <c r="S63" s="129">
        <v>297079.33999999997</v>
      </c>
    </row>
    <row r="64" spans="1:19">
      <c r="A64" s="134" t="s">
        <v>190</v>
      </c>
      <c r="B64" s="77" t="s">
        <v>107</v>
      </c>
      <c r="C64" s="81" t="s">
        <v>194</v>
      </c>
      <c r="D64">
        <v>2820</v>
      </c>
      <c r="E64" s="106" t="s">
        <v>106</v>
      </c>
      <c r="F64" s="109">
        <v>0</v>
      </c>
      <c r="G64" s="109">
        <v>0</v>
      </c>
      <c r="H64" s="109">
        <v>0</v>
      </c>
      <c r="I64" s="109">
        <v>0</v>
      </c>
      <c r="J64" s="110">
        <v>0</v>
      </c>
      <c r="K64" s="110">
        <v>0</v>
      </c>
      <c r="L64" s="129">
        <v>0</v>
      </c>
      <c r="M64" s="130">
        <v>-121392.795</v>
      </c>
      <c r="N64" s="129">
        <v>-3931.0499999999997</v>
      </c>
      <c r="O64" s="129">
        <v>-3931.0499999999997</v>
      </c>
      <c r="P64" s="129">
        <v>-3931.0499999999997</v>
      </c>
      <c r="Q64" s="129">
        <v>-3931.0499999999997</v>
      </c>
      <c r="R64" s="129">
        <v>-4021.9349999999999</v>
      </c>
      <c r="S64" s="129">
        <v>-4021.9349999999999</v>
      </c>
    </row>
    <row r="65" spans="1:19">
      <c r="A65" s="134" t="s">
        <v>190</v>
      </c>
      <c r="B65" s="85" t="s">
        <v>108</v>
      </c>
      <c r="C65" s="81" t="s">
        <v>194</v>
      </c>
      <c r="D65">
        <v>2820</v>
      </c>
      <c r="E65" s="106" t="s">
        <v>106</v>
      </c>
      <c r="F65" s="109"/>
      <c r="G65" s="109"/>
      <c r="H65" s="109"/>
      <c r="I65" s="109"/>
      <c r="J65" s="110"/>
      <c r="K65" s="110"/>
      <c r="L65" s="129"/>
      <c r="M65" s="130">
        <v>-792.41499999999996</v>
      </c>
      <c r="N65" s="129">
        <v>-792.41499999999996</v>
      </c>
      <c r="O65" s="129">
        <v>-792.41499999999996</v>
      </c>
      <c r="P65" s="129">
        <v>-792.41499999999996</v>
      </c>
      <c r="Q65" s="129">
        <v>-792.41499999999996</v>
      </c>
      <c r="R65" s="129">
        <v>5</v>
      </c>
      <c r="S65" s="129">
        <v>5</v>
      </c>
    </row>
    <row r="66" spans="1:19">
      <c r="A66" s="85" t="s">
        <v>26</v>
      </c>
      <c r="B66" s="85" t="s">
        <v>108</v>
      </c>
      <c r="C66" s="86" t="s">
        <v>146</v>
      </c>
      <c r="D66">
        <v>2820</v>
      </c>
      <c r="E66" s="106" t="s">
        <v>106</v>
      </c>
      <c r="F66" s="111">
        <v>-3583122.18</v>
      </c>
      <c r="G66" s="111">
        <v>-3583122.18</v>
      </c>
      <c r="H66" s="111">
        <v>-3583122.18</v>
      </c>
      <c r="I66" s="111">
        <v>-3583122.18</v>
      </c>
      <c r="J66" s="112">
        <v>-15264555.135</v>
      </c>
      <c r="K66" s="112">
        <v>-15264555.135</v>
      </c>
      <c r="L66" s="133">
        <v>-15264554.77</v>
      </c>
      <c r="M66" s="142">
        <v>-16095235.639999999</v>
      </c>
      <c r="N66" s="133">
        <v>-1953985.89</v>
      </c>
      <c r="O66" s="133">
        <v>-1953985.89</v>
      </c>
      <c r="P66" s="133">
        <v>-1953985.89</v>
      </c>
      <c r="Q66" s="133">
        <v>-1016692.1699999999</v>
      </c>
      <c r="R66" s="133">
        <v>-862232.92999999993</v>
      </c>
      <c r="S66" s="133">
        <v>-862232.92999999993</v>
      </c>
    </row>
    <row r="67" spans="1:19">
      <c r="A67" s="76" t="s">
        <v>90</v>
      </c>
      <c r="B67" s="85"/>
      <c r="C67" s="86"/>
      <c r="D67" t="s">
        <v>102</v>
      </c>
      <c r="E67" s="106" t="s">
        <v>102</v>
      </c>
      <c r="F67" s="109">
        <f>SUM(F55:F66)</f>
        <v>-30838052.93</v>
      </c>
      <c r="G67" s="109">
        <f t="shared" ref="G67:S67" si="1">SUM(G55:G66)</f>
        <v>-32385616.225000001</v>
      </c>
      <c r="H67" s="109">
        <f t="shared" si="1"/>
        <v>-34042046.284999996</v>
      </c>
      <c r="I67" s="109">
        <f t="shared" si="1"/>
        <v>-35644042.962500006</v>
      </c>
      <c r="J67" s="109">
        <f t="shared" si="1"/>
        <v>-49812877.395000003</v>
      </c>
      <c r="K67" s="109">
        <f t="shared" si="1"/>
        <v>-54510544.190281145</v>
      </c>
      <c r="L67" s="109">
        <f t="shared" si="1"/>
        <v>-47094907.070573233</v>
      </c>
      <c r="M67" s="109">
        <f>SUM(M55:M66)</f>
        <v>-55646208.724932991</v>
      </c>
      <c r="N67" s="109">
        <f>SUM(N55:N66)</f>
        <v>-47951074.190000005</v>
      </c>
      <c r="O67" s="109">
        <f t="shared" si="1"/>
        <v>-55733646.676912494</v>
      </c>
      <c r="P67" s="109">
        <f t="shared" si="1"/>
        <v>-57162379.463824995</v>
      </c>
      <c r="Q67" s="109">
        <f t="shared" si="1"/>
        <v>-58414630.579699986</v>
      </c>
      <c r="R67" s="109">
        <f>SUM(R55:R66)</f>
        <v>-46881114.029999994</v>
      </c>
      <c r="S67" s="109">
        <f t="shared" si="1"/>
        <v>-48991431.40938165</v>
      </c>
    </row>
    <row r="68" spans="1:19">
      <c r="A68" s="75"/>
      <c r="B68" s="85"/>
      <c r="C68" s="86"/>
      <c r="D68" t="s">
        <v>102</v>
      </c>
      <c r="E68" s="106"/>
      <c r="F68" s="109"/>
      <c r="G68" s="109"/>
      <c r="H68" s="109"/>
      <c r="I68" s="109"/>
      <c r="J68" s="109"/>
      <c r="K68" s="109"/>
      <c r="L68" s="129"/>
      <c r="M68" s="129"/>
      <c r="N68" s="129"/>
      <c r="O68" s="129"/>
      <c r="P68" s="129"/>
      <c r="Q68" s="129"/>
      <c r="R68" s="129"/>
      <c r="S68" s="129"/>
    </row>
    <row r="69" spans="1:19">
      <c r="A69" s="75" t="s">
        <v>100</v>
      </c>
      <c r="D69" t="s">
        <v>102</v>
      </c>
      <c r="L69" s="129"/>
      <c r="M69" s="129"/>
      <c r="N69" s="129"/>
      <c r="O69" s="129"/>
      <c r="P69" s="129"/>
      <c r="Q69" s="129"/>
      <c r="R69" s="129"/>
      <c r="S69" s="129"/>
    </row>
    <row r="70" spans="1:19">
      <c r="A70" s="78" t="s">
        <v>65</v>
      </c>
      <c r="B70" s="77" t="s">
        <v>107</v>
      </c>
      <c r="C70" s="79" t="s">
        <v>182</v>
      </c>
      <c r="D70">
        <v>1900</v>
      </c>
      <c r="E70" s="105" t="s">
        <v>105</v>
      </c>
      <c r="F70" s="109">
        <v>262396156</v>
      </c>
      <c r="G70" s="109">
        <f t="shared" ref="G70:I71" si="2">F70</f>
        <v>262396156</v>
      </c>
      <c r="H70" s="109">
        <f t="shared" si="2"/>
        <v>262396156</v>
      </c>
      <c r="I70" s="109">
        <f t="shared" si="2"/>
        <v>262396156</v>
      </c>
      <c r="J70" s="110">
        <v>336718782.84999996</v>
      </c>
      <c r="K70" s="126">
        <f>J70</f>
        <v>336718782.84999996</v>
      </c>
      <c r="L70" s="129">
        <v>340724523.40000004</v>
      </c>
      <c r="M70" s="130">
        <v>352057428.21399999</v>
      </c>
      <c r="N70" s="129">
        <v>389816215.16399997</v>
      </c>
      <c r="O70" s="129">
        <v>395636604</v>
      </c>
      <c r="P70" s="129">
        <v>377175208.16399997</v>
      </c>
      <c r="Q70" s="129">
        <v>405828177</v>
      </c>
      <c r="R70" s="129">
        <v>444334650</v>
      </c>
      <c r="S70" s="129">
        <v>469818580</v>
      </c>
    </row>
    <row r="71" spans="1:19">
      <c r="A71" s="78" t="s">
        <v>66</v>
      </c>
      <c r="B71" s="77" t="s">
        <v>107</v>
      </c>
      <c r="C71" s="79" t="s">
        <v>183</v>
      </c>
      <c r="D71">
        <v>1900</v>
      </c>
      <c r="E71" s="105" t="s">
        <v>105</v>
      </c>
      <c r="F71" s="109">
        <v>-194703517</v>
      </c>
      <c r="G71" s="109">
        <f t="shared" si="2"/>
        <v>-194703517</v>
      </c>
      <c r="H71" s="109">
        <f t="shared" si="2"/>
        <v>-194703517</v>
      </c>
      <c r="I71" s="109">
        <f t="shared" si="2"/>
        <v>-194703517</v>
      </c>
      <c r="J71" s="110">
        <v>-193479559.25000003</v>
      </c>
      <c r="K71" s="126">
        <f>J71</f>
        <v>-193479559.25000003</v>
      </c>
      <c r="L71" s="129">
        <v>-204099089.84999999</v>
      </c>
      <c r="M71" s="130">
        <v>-200975727.71400002</v>
      </c>
      <c r="N71" s="129">
        <v>-204470954.26400003</v>
      </c>
      <c r="O71" s="129">
        <v>-207097743</v>
      </c>
      <c r="P71" s="129">
        <v>-219167600.26400003</v>
      </c>
      <c r="Q71" s="129">
        <v>-219884627</v>
      </c>
      <c r="R71" s="129">
        <v>-217201876</v>
      </c>
      <c r="S71" s="129">
        <v>-219650879</v>
      </c>
    </row>
    <row r="72" spans="1:19" s="84" customFormat="1">
      <c r="A72" s="78" t="s">
        <v>65</v>
      </c>
      <c r="B72" s="78" t="s">
        <v>107</v>
      </c>
      <c r="C72" s="79" t="s">
        <v>182</v>
      </c>
      <c r="D72" s="84">
        <v>2820</v>
      </c>
      <c r="E72" s="127" t="s">
        <v>106</v>
      </c>
      <c r="F72" s="128"/>
      <c r="G72" s="128">
        <f>277345812-F70-1</f>
        <v>14949655</v>
      </c>
      <c r="H72" s="128">
        <f>243784973-F70</f>
        <v>-18611183</v>
      </c>
      <c r="I72" s="128">
        <f>266293965-F70</f>
        <v>3897809</v>
      </c>
      <c r="J72" s="126"/>
      <c r="K72" s="126">
        <f>356963785-J70</f>
        <v>20245002.150000036</v>
      </c>
      <c r="L72" s="130"/>
      <c r="M72" s="130"/>
      <c r="N72" s="130"/>
      <c r="O72" s="130"/>
      <c r="P72" s="130"/>
      <c r="Q72" s="130"/>
      <c r="R72" s="130"/>
      <c r="S72" s="130"/>
    </row>
    <row r="73" spans="1:19" s="84" customFormat="1">
      <c r="A73" s="78" t="s">
        <v>66</v>
      </c>
      <c r="B73" s="78" t="s">
        <v>107</v>
      </c>
      <c r="C73" s="79" t="s">
        <v>183</v>
      </c>
      <c r="D73" s="84">
        <v>2820</v>
      </c>
      <c r="E73" s="127" t="s">
        <v>106</v>
      </c>
      <c r="F73" s="128"/>
      <c r="G73" s="128">
        <f>-197318049-F71</f>
        <v>-2614532</v>
      </c>
      <c r="H73" s="128">
        <f>-193227629-F71</f>
        <v>1475888</v>
      </c>
      <c r="I73" s="128">
        <f>-200721563-F71-1</f>
        <v>-6018047</v>
      </c>
      <c r="J73" s="126"/>
      <c r="K73" s="126">
        <f>-198618785-J71+1</f>
        <v>-5139224.7499999702</v>
      </c>
      <c r="L73" s="130"/>
      <c r="M73" s="130"/>
      <c r="N73" s="130"/>
      <c r="O73" s="130"/>
      <c r="P73" s="130"/>
      <c r="Q73" s="130"/>
      <c r="R73" s="130"/>
      <c r="S73" s="130"/>
    </row>
    <row r="74" spans="1:19" s="84" customFormat="1">
      <c r="A74" s="78" t="s">
        <v>191</v>
      </c>
      <c r="B74" s="78" t="s">
        <v>107</v>
      </c>
      <c r="C74" s="79" t="s">
        <v>192</v>
      </c>
      <c r="D74" s="84">
        <v>2820</v>
      </c>
      <c r="E74" s="127" t="s">
        <v>106</v>
      </c>
      <c r="F74" s="130">
        <v>0</v>
      </c>
      <c r="G74" s="130">
        <v>0</v>
      </c>
      <c r="H74" s="130">
        <v>0</v>
      </c>
      <c r="I74" s="130">
        <v>0</v>
      </c>
      <c r="J74" s="130">
        <v>0</v>
      </c>
      <c r="K74" s="130">
        <v>0</v>
      </c>
      <c r="L74" s="130">
        <v>0</v>
      </c>
      <c r="M74" s="130">
        <v>0</v>
      </c>
      <c r="N74" s="130">
        <v>0</v>
      </c>
      <c r="O74" s="130">
        <v>0</v>
      </c>
      <c r="P74" s="130">
        <v>0</v>
      </c>
      <c r="Q74" s="130">
        <v>0</v>
      </c>
      <c r="R74" s="130">
        <v>-2947398</v>
      </c>
      <c r="S74" s="130">
        <v>-2947398</v>
      </c>
    </row>
    <row r="75" spans="1:19">
      <c r="A75" s="78" t="s">
        <v>67</v>
      </c>
      <c r="B75" s="77" t="s">
        <v>107</v>
      </c>
      <c r="C75" s="82" t="s">
        <v>168</v>
      </c>
      <c r="D75">
        <v>1900</v>
      </c>
      <c r="E75" s="105" t="s">
        <v>105</v>
      </c>
      <c r="F75" s="109">
        <v>0</v>
      </c>
      <c r="G75" s="109">
        <v>0</v>
      </c>
      <c r="H75" s="109">
        <v>0</v>
      </c>
      <c r="I75" s="109">
        <v>0</v>
      </c>
      <c r="J75" s="110">
        <v>1</v>
      </c>
      <c r="K75" s="110">
        <v>1</v>
      </c>
      <c r="L75" s="129">
        <v>110744</v>
      </c>
      <c r="M75" s="130">
        <v>1803207</v>
      </c>
      <c r="N75" s="129">
        <v>0</v>
      </c>
      <c r="O75" s="129">
        <v>0</v>
      </c>
      <c r="P75" s="129">
        <v>0</v>
      </c>
      <c r="Q75" s="129">
        <v>0</v>
      </c>
      <c r="R75" s="129">
        <v>25880</v>
      </c>
      <c r="S75" s="129">
        <v>25880</v>
      </c>
    </row>
    <row r="76" spans="1:19">
      <c r="A76" s="44" t="s">
        <v>69</v>
      </c>
      <c r="B76" s="77" t="s">
        <v>107</v>
      </c>
      <c r="C76" s="50" t="s">
        <v>70</v>
      </c>
      <c r="D76">
        <v>2820</v>
      </c>
      <c r="E76" s="69" t="s">
        <v>106</v>
      </c>
      <c r="F76" s="109"/>
      <c r="G76" s="109"/>
      <c r="H76" s="109"/>
      <c r="I76" s="109"/>
      <c r="J76" s="110"/>
      <c r="K76" s="110"/>
      <c r="L76" s="129"/>
      <c r="M76" s="130">
        <v>1551040</v>
      </c>
      <c r="N76" s="129"/>
      <c r="O76" s="129"/>
      <c r="P76" s="129"/>
      <c r="Q76" s="129"/>
      <c r="R76" s="129"/>
      <c r="S76" s="129"/>
    </row>
    <row r="77" spans="1:19">
      <c r="A77" s="78" t="s">
        <v>71</v>
      </c>
      <c r="B77" s="77" t="s">
        <v>107</v>
      </c>
      <c r="C77" s="82" t="s">
        <v>166</v>
      </c>
      <c r="D77">
        <v>2830</v>
      </c>
      <c r="E77" s="105" t="s">
        <v>109</v>
      </c>
      <c r="F77" s="109">
        <v>-1516693</v>
      </c>
      <c r="G77" s="109">
        <v>-2022934</v>
      </c>
      <c r="H77" s="109">
        <v>-3191535.42</v>
      </c>
      <c r="I77" s="109">
        <v>-2660014.42</v>
      </c>
      <c r="J77" s="110">
        <v>-3324311</v>
      </c>
      <c r="K77" s="110">
        <v>-3110269</v>
      </c>
      <c r="L77" s="129">
        <v>-2981513</v>
      </c>
      <c r="M77" s="130">
        <v>-2918601</v>
      </c>
      <c r="N77" s="129">
        <v>-3273497</v>
      </c>
      <c r="O77" s="129">
        <v>-4667610</v>
      </c>
      <c r="P77" s="129">
        <v>-4516036</v>
      </c>
      <c r="Q77" s="129">
        <v>-4647682</v>
      </c>
      <c r="R77" s="129">
        <v>-4267586</v>
      </c>
      <c r="S77" s="129">
        <v>-3681504</v>
      </c>
    </row>
    <row r="78" spans="1:19">
      <c r="A78" s="36" t="s">
        <v>72</v>
      </c>
      <c r="B78" s="77" t="s">
        <v>107</v>
      </c>
      <c r="C78" s="40" t="s">
        <v>170</v>
      </c>
      <c r="D78">
        <v>2820</v>
      </c>
      <c r="E78" t="s">
        <v>106</v>
      </c>
      <c r="F78" s="109"/>
      <c r="G78" s="109"/>
      <c r="H78" s="109"/>
      <c r="I78" s="109"/>
      <c r="J78" s="110"/>
      <c r="K78" s="110"/>
      <c r="L78" s="129"/>
      <c r="M78" s="130">
        <v>-542864</v>
      </c>
      <c r="N78" s="129"/>
      <c r="O78" s="129"/>
      <c r="P78" s="129"/>
      <c r="Q78" s="129"/>
      <c r="R78" s="129"/>
      <c r="S78" s="129"/>
    </row>
    <row r="79" spans="1:19">
      <c r="A79" s="78" t="s">
        <v>74</v>
      </c>
      <c r="B79" s="77" t="s">
        <v>107</v>
      </c>
      <c r="C79" s="82" t="s">
        <v>171</v>
      </c>
      <c r="D79">
        <v>1900</v>
      </c>
      <c r="E79" s="105" t="s">
        <v>105</v>
      </c>
      <c r="F79" s="109">
        <v>0</v>
      </c>
      <c r="G79" s="109">
        <v>0</v>
      </c>
      <c r="H79" s="109">
        <v>0</v>
      </c>
      <c r="I79" s="109">
        <v>0</v>
      </c>
      <c r="J79" s="110">
        <v>2</v>
      </c>
      <c r="K79" s="110">
        <v>2</v>
      </c>
      <c r="L79" s="129">
        <v>-38758</v>
      </c>
      <c r="M79" s="130">
        <v>-587340</v>
      </c>
      <c r="N79" s="129">
        <v>0</v>
      </c>
      <c r="O79" s="129">
        <v>0</v>
      </c>
      <c r="P79" s="129">
        <v>0</v>
      </c>
      <c r="Q79" s="129">
        <v>0</v>
      </c>
      <c r="R79" s="129">
        <v>-31979</v>
      </c>
      <c r="S79" s="129">
        <v>-31979</v>
      </c>
    </row>
    <row r="80" spans="1:19">
      <c r="A80" s="78" t="s">
        <v>76</v>
      </c>
      <c r="B80" s="77" t="s">
        <v>107</v>
      </c>
      <c r="C80" s="82" t="s">
        <v>167</v>
      </c>
      <c r="D80">
        <v>1900</v>
      </c>
      <c r="E80" s="105" t="s">
        <v>105</v>
      </c>
      <c r="F80" s="109">
        <v>4573142</v>
      </c>
      <c r="G80" s="109">
        <f>4573142</f>
        <v>4573142</v>
      </c>
      <c r="H80" s="109">
        <v>4573142</v>
      </c>
      <c r="I80" s="109">
        <v>4573142</v>
      </c>
      <c r="J80" s="110">
        <v>-61451</v>
      </c>
      <c r="K80" s="110">
        <v>-61451</v>
      </c>
      <c r="L80" s="129">
        <v>-61451</v>
      </c>
      <c r="M80" s="130">
        <v>-61451</v>
      </c>
      <c r="N80" s="129">
        <v>-61451</v>
      </c>
      <c r="O80" s="129">
        <v>0</v>
      </c>
      <c r="P80" s="129">
        <v>0</v>
      </c>
      <c r="Q80" s="129">
        <v>0</v>
      </c>
      <c r="R80" s="129">
        <v>0</v>
      </c>
      <c r="S80" s="129">
        <v>0</v>
      </c>
    </row>
    <row r="81" spans="1:19">
      <c r="A81" s="78" t="s">
        <v>77</v>
      </c>
      <c r="B81" s="77" t="s">
        <v>107</v>
      </c>
      <c r="C81" s="82" t="s">
        <v>172</v>
      </c>
      <c r="D81">
        <v>1900</v>
      </c>
      <c r="E81" s="105" t="s">
        <v>105</v>
      </c>
      <c r="F81" s="109">
        <v>10099286</v>
      </c>
      <c r="G81" s="109">
        <v>10099286</v>
      </c>
      <c r="H81" s="109">
        <v>10099286</v>
      </c>
      <c r="I81" s="109">
        <v>10099286</v>
      </c>
      <c r="J81" s="110">
        <f>10099286+1</f>
        <v>10099287</v>
      </c>
      <c r="K81" s="110">
        <v>10099286</v>
      </c>
      <c r="L81" s="129">
        <v>10099286</v>
      </c>
      <c r="M81" s="130">
        <v>10099286</v>
      </c>
      <c r="N81" s="129">
        <v>10099286</v>
      </c>
      <c r="O81" s="129">
        <v>10099286</v>
      </c>
      <c r="P81" s="129">
        <v>10099286</v>
      </c>
      <c r="Q81" s="129">
        <v>10099286</v>
      </c>
      <c r="R81" s="129">
        <v>10099286</v>
      </c>
      <c r="S81" s="129">
        <v>10099286</v>
      </c>
    </row>
    <row r="82" spans="1:19">
      <c r="A82" s="80" t="s">
        <v>78</v>
      </c>
      <c r="B82" s="77" t="s">
        <v>107</v>
      </c>
      <c r="C82" s="82" t="s">
        <v>173</v>
      </c>
      <c r="D82">
        <v>1900</v>
      </c>
      <c r="E82" s="105" t="s">
        <v>105</v>
      </c>
      <c r="F82" s="109">
        <v>0</v>
      </c>
      <c r="G82" s="109">
        <v>0</v>
      </c>
      <c r="H82" s="109">
        <v>0</v>
      </c>
      <c r="I82" s="109">
        <v>484812</v>
      </c>
      <c r="J82" s="110">
        <v>484812</v>
      </c>
      <c r="K82" s="110">
        <f>484812+1</f>
        <v>484813</v>
      </c>
      <c r="L82" s="129">
        <v>484812</v>
      </c>
      <c r="M82" s="130">
        <v>484812</v>
      </c>
      <c r="N82" s="129">
        <v>600941</v>
      </c>
      <c r="O82" s="129">
        <v>600941</v>
      </c>
      <c r="P82" s="129">
        <v>600941</v>
      </c>
      <c r="Q82" s="129">
        <v>600941</v>
      </c>
      <c r="R82" s="129">
        <v>988593</v>
      </c>
      <c r="S82" s="129">
        <v>988593</v>
      </c>
    </row>
    <row r="83" spans="1:19">
      <c r="A83" s="78" t="s">
        <v>79</v>
      </c>
      <c r="B83" s="77" t="s">
        <v>107</v>
      </c>
      <c r="C83" s="79" t="s">
        <v>80</v>
      </c>
      <c r="D83">
        <v>2830</v>
      </c>
      <c r="E83" s="105" t="s">
        <v>109</v>
      </c>
      <c r="F83" s="109">
        <v>-4924691</v>
      </c>
      <c r="G83" s="109">
        <v>-5110499</v>
      </c>
      <c r="H83" s="109">
        <v>-5296308</v>
      </c>
      <c r="I83" s="109">
        <f>-5482115+3</f>
        <v>-5482112</v>
      </c>
      <c r="J83" s="109">
        <f>-5591328-3</f>
        <v>-5591331</v>
      </c>
      <c r="K83" s="110">
        <v>-5774625</v>
      </c>
      <c r="L83" s="129">
        <v>18225358</v>
      </c>
      <c r="M83" s="130">
        <v>17839408</v>
      </c>
      <c r="N83" s="129">
        <v>17453496</v>
      </c>
      <c r="O83" s="129">
        <v>17067546</v>
      </c>
      <c r="P83" s="129">
        <v>16681596</v>
      </c>
      <c r="Q83" s="129">
        <v>16295646</v>
      </c>
      <c r="R83" s="129">
        <v>15909696</v>
      </c>
      <c r="S83" s="129">
        <v>10842725</v>
      </c>
    </row>
    <row r="84" spans="1:19">
      <c r="A84" s="78" t="s">
        <v>81</v>
      </c>
      <c r="B84" s="77" t="s">
        <v>107</v>
      </c>
      <c r="C84" s="79" t="s">
        <v>82</v>
      </c>
      <c r="D84">
        <v>2830</v>
      </c>
      <c r="E84" s="105" t="s">
        <v>109</v>
      </c>
      <c r="F84" s="111">
        <v>24984957</v>
      </c>
      <c r="G84" s="111">
        <v>25809166</v>
      </c>
      <c r="H84" s="111">
        <v>16952749</v>
      </c>
      <c r="I84" s="111">
        <v>35537544</v>
      </c>
      <c r="J84" s="111">
        <v>31039561</v>
      </c>
      <c r="K84" s="112">
        <f>24173617+11</f>
        <v>24173628</v>
      </c>
      <c r="L84" s="133">
        <v>-13339299</v>
      </c>
      <c r="M84" s="142">
        <v>-30817731</v>
      </c>
      <c r="N84" s="133">
        <v>-39241988</v>
      </c>
      <c r="O84" s="133">
        <v>-46869745</v>
      </c>
      <c r="P84" s="133">
        <v>-30937041.814999998</v>
      </c>
      <c r="Q84" s="133">
        <v>-17078043.814999998</v>
      </c>
      <c r="R84" s="133">
        <v>-5344289.8149999976</v>
      </c>
      <c r="S84" s="133">
        <v>29490433.185000002</v>
      </c>
    </row>
    <row r="85" spans="1:19">
      <c r="A85" s="73" t="s">
        <v>92</v>
      </c>
      <c r="F85" s="102">
        <f t="shared" ref="F85:S85" si="3">SUM(F70:F84)</f>
        <v>100908640</v>
      </c>
      <c r="G85" s="102">
        <f t="shared" si="3"/>
        <v>113375923</v>
      </c>
      <c r="H85" s="102">
        <f t="shared" si="3"/>
        <v>73694677.579999998</v>
      </c>
      <c r="I85" s="102">
        <f t="shared" si="3"/>
        <v>108125058.58</v>
      </c>
      <c r="J85" s="102">
        <f t="shared" si="3"/>
        <v>175885793.59999993</v>
      </c>
      <c r="K85" s="102">
        <f t="shared" si="3"/>
        <v>184156386</v>
      </c>
      <c r="L85" s="102">
        <f t="shared" si="3"/>
        <v>149124612.55000004</v>
      </c>
      <c r="M85" s="102">
        <f t="shared" si="3"/>
        <v>147931466.49999997</v>
      </c>
      <c r="N85" s="102">
        <f t="shared" si="3"/>
        <v>170922047.89999995</v>
      </c>
      <c r="O85" s="102">
        <f t="shared" si="3"/>
        <v>164769279</v>
      </c>
      <c r="P85" s="102">
        <f t="shared" si="3"/>
        <v>149936353.08499995</v>
      </c>
      <c r="Q85" s="102">
        <f t="shared" si="3"/>
        <v>191213697.185</v>
      </c>
      <c r="R85" s="102">
        <f t="shared" si="3"/>
        <v>241564976.185</v>
      </c>
      <c r="S85" s="102">
        <f t="shared" si="3"/>
        <v>294953737.185</v>
      </c>
    </row>
    <row r="86" spans="1:19">
      <c r="A86" s="70"/>
      <c r="L86" s="129"/>
      <c r="M86" s="129"/>
      <c r="N86" s="129"/>
      <c r="O86" s="129"/>
      <c r="P86" s="129"/>
      <c r="Q86" s="129"/>
      <c r="R86" s="129"/>
      <c r="S86" s="129"/>
    </row>
    <row r="87" spans="1:19">
      <c r="A87" s="68" t="s">
        <v>93</v>
      </c>
      <c r="F87" s="102">
        <f t="shared" ref="F87:S87" si="4">F85+F67+F51</f>
        <v>101160918.13</v>
      </c>
      <c r="G87" s="102">
        <f t="shared" si="4"/>
        <v>113301397.625</v>
      </c>
      <c r="H87" s="102">
        <f t="shared" si="4"/>
        <v>73235956.36500001</v>
      </c>
      <c r="I87" s="102">
        <f t="shared" si="4"/>
        <v>98808614.6875</v>
      </c>
      <c r="J87" s="102">
        <f t="shared" si="4"/>
        <v>150241285.56499994</v>
      </c>
      <c r="K87" s="102">
        <f t="shared" si="4"/>
        <v>153406303.45971885</v>
      </c>
      <c r="L87" s="102">
        <f t="shared" si="4"/>
        <v>127131420.7168768</v>
      </c>
      <c r="M87" s="102">
        <f t="shared" si="4"/>
        <v>130398992.11441697</v>
      </c>
      <c r="N87" s="102">
        <f t="shared" si="4"/>
        <v>165225393.99499995</v>
      </c>
      <c r="O87" s="102">
        <f t="shared" si="4"/>
        <v>148536215.37963751</v>
      </c>
      <c r="P87" s="102">
        <f t="shared" si="4"/>
        <v>131697134.52887496</v>
      </c>
      <c r="Q87" s="102">
        <f t="shared" si="4"/>
        <v>174621942.51850003</v>
      </c>
      <c r="R87" s="102">
        <f t="shared" si="4"/>
        <v>238681465.27500001</v>
      </c>
      <c r="S87" s="102">
        <f t="shared" si="4"/>
        <v>290175385.23891836</v>
      </c>
    </row>
    <row r="88" spans="1:19">
      <c r="L88" s="129"/>
      <c r="M88" s="129"/>
      <c r="N88" s="129"/>
      <c r="O88" s="129"/>
      <c r="P88" s="129"/>
      <c r="Q88" s="129"/>
      <c r="R88" s="129"/>
      <c r="S88" s="129"/>
    </row>
    <row r="89" spans="1:19" ht="15.75">
      <c r="A89" s="70" t="s">
        <v>103</v>
      </c>
      <c r="B89" s="71"/>
      <c r="C89" s="71"/>
      <c r="D89" s="69">
        <v>1900</v>
      </c>
      <c r="E89" s="107"/>
      <c r="F89" s="101">
        <f t="shared" ref="F89:S91" ca="1" si="5">SUMIF($D$10:$K$85,$D89,F$10:F$85)</f>
        <v>130781903.47000003</v>
      </c>
      <c r="G89" s="101">
        <f t="shared" ca="1" si="5"/>
        <v>130781903.47000003</v>
      </c>
      <c r="H89" s="101">
        <f t="shared" ca="1" si="5"/>
        <v>130781903.47000003</v>
      </c>
      <c r="I89" s="101">
        <f t="shared" ca="1" si="5"/>
        <v>131266715.47000003</v>
      </c>
      <c r="J89" s="101">
        <f t="shared" ca="1" si="5"/>
        <v>213525784.31499991</v>
      </c>
      <c r="K89" s="101">
        <f t="shared" ca="1" si="5"/>
        <v>213525784.31499991</v>
      </c>
      <c r="L89" s="101">
        <f t="shared" ca="1" si="5"/>
        <v>206260064.11445007</v>
      </c>
      <c r="M89" s="101">
        <f t="shared" ca="1" si="5"/>
        <v>226501105.81034997</v>
      </c>
      <c r="N89" s="101">
        <f t="shared" ca="1" si="5"/>
        <v>265156205.25999996</v>
      </c>
      <c r="O89" s="101">
        <f t="shared" ca="1" si="5"/>
        <v>264181520.65135002</v>
      </c>
      <c r="P89" s="101">
        <f t="shared" ca="1" si="5"/>
        <v>234168023.80719998</v>
      </c>
      <c r="Q89" s="101">
        <f t="shared" ca="1" si="5"/>
        <v>260616559.69700003</v>
      </c>
      <c r="R89" s="101">
        <f t="shared" ca="1" si="5"/>
        <v>301480219.39999998</v>
      </c>
      <c r="S89" s="101">
        <f t="shared" ca="1" si="5"/>
        <v>324793360.1383</v>
      </c>
    </row>
    <row r="90" spans="1:19" ht="15.75">
      <c r="A90" s="70" t="s">
        <v>97</v>
      </c>
      <c r="B90" s="71"/>
      <c r="C90" s="71"/>
      <c r="D90" s="69">
        <v>2820</v>
      </c>
      <c r="E90" s="107"/>
      <c r="F90" s="102">
        <f t="shared" ca="1" si="5"/>
        <v>-30838052.93</v>
      </c>
      <c r="G90" s="102">
        <f t="shared" ca="1" si="5"/>
        <v>-18829733.435000002</v>
      </c>
      <c r="H90" s="102">
        <f t="shared" ca="1" si="5"/>
        <v>-48684347.275000006</v>
      </c>
      <c r="I90" s="102">
        <f t="shared" ca="1" si="5"/>
        <v>-42527012.952499993</v>
      </c>
      <c r="J90" s="102">
        <f t="shared" ca="1" si="5"/>
        <v>-49812877.395000003</v>
      </c>
      <c r="K90" s="102">
        <f t="shared" ca="1" si="5"/>
        <v>-39812674.500281081</v>
      </c>
      <c r="L90" s="102">
        <f t="shared" ca="1" si="5"/>
        <v>-47100507.411573224</v>
      </c>
      <c r="M90" s="102">
        <f t="shared" ca="1" si="5"/>
        <v>-54643633.065932997</v>
      </c>
      <c r="N90" s="102">
        <f t="shared" ca="1" si="5"/>
        <v>-47956674.384999998</v>
      </c>
      <c r="O90" s="102">
        <f t="shared" ca="1" si="5"/>
        <v>-55739246.871912502</v>
      </c>
      <c r="P90" s="102">
        <f t="shared" ca="1" si="5"/>
        <v>-57167979.658824988</v>
      </c>
      <c r="Q90" s="102">
        <f t="shared" ca="1" si="5"/>
        <v>-58420230.774700008</v>
      </c>
      <c r="R90" s="102">
        <f t="shared" ca="1" si="5"/>
        <v>-49828511.664999999</v>
      </c>
      <c r="S90" s="102">
        <f t="shared" ca="1" si="5"/>
        <v>-51938829.044381656</v>
      </c>
    </row>
    <row r="91" spans="1:19" ht="15.75">
      <c r="A91" s="70" t="s">
        <v>104</v>
      </c>
      <c r="B91" s="71"/>
      <c r="C91" s="71"/>
      <c r="D91" s="69">
        <v>2830</v>
      </c>
      <c r="E91" s="107"/>
      <c r="F91" s="113">
        <f t="shared" ca="1" si="5"/>
        <v>1217067.5899999999</v>
      </c>
      <c r="G91" s="113">
        <f t="shared" ca="1" si="5"/>
        <v>1349227.5899999999</v>
      </c>
      <c r="H91" s="113">
        <f t="shared" ca="1" si="5"/>
        <v>-8861599.8299999982</v>
      </c>
      <c r="I91" s="113">
        <f t="shared" ca="1" si="5"/>
        <v>10068912.170000002</v>
      </c>
      <c r="J91" s="113">
        <f t="shared" ca="1" si="5"/>
        <v>-13471621.354999997</v>
      </c>
      <c r="K91" s="113">
        <f t="shared" ca="1" si="5"/>
        <v>-20306806.354999997</v>
      </c>
      <c r="L91" s="113">
        <f t="shared" ca="1" si="5"/>
        <v>-32028135.985999994</v>
      </c>
      <c r="M91" s="113">
        <f t="shared" ca="1" si="5"/>
        <v>-41458480.629999995</v>
      </c>
      <c r="N91" s="113">
        <f t="shared" ca="1" si="5"/>
        <v>-51974136.879999995</v>
      </c>
      <c r="O91" s="113">
        <f t="shared" ca="1" si="5"/>
        <v>-59906058.399800003</v>
      </c>
      <c r="P91" s="113">
        <f t="shared" ca="1" si="5"/>
        <v>-45302909.619499996</v>
      </c>
      <c r="Q91" s="113">
        <f t="shared" ca="1" si="5"/>
        <v>-27574386.403799996</v>
      </c>
      <c r="R91" s="113">
        <f t="shared" ca="1" si="5"/>
        <v>-12970242.459999997</v>
      </c>
      <c r="S91" s="113">
        <f t="shared" ca="1" si="5"/>
        <v>17320854.145000003</v>
      </c>
    </row>
    <row r="92" spans="1:19" ht="15.75">
      <c r="A92" s="70" t="s">
        <v>99</v>
      </c>
      <c r="B92" s="71"/>
      <c r="C92" s="71"/>
      <c r="D92" s="69"/>
      <c r="E92" s="107"/>
      <c r="F92" s="102">
        <f ca="1">SUM(F89:F91)</f>
        <v>101160918.13000003</v>
      </c>
      <c r="G92" s="102">
        <f t="shared" ref="G92:S92" ca="1" si="6">SUM(G89:G91)</f>
        <v>113301397.62500003</v>
      </c>
      <c r="H92" s="102">
        <f t="shared" ca="1" si="6"/>
        <v>73235956.365000024</v>
      </c>
      <c r="I92" s="102">
        <f t="shared" ca="1" si="6"/>
        <v>98808614.687500045</v>
      </c>
      <c r="J92" s="102">
        <f t="shared" ca="1" si="6"/>
        <v>150241285.56499991</v>
      </c>
      <c r="K92" s="102">
        <f t="shared" ca="1" si="6"/>
        <v>153406303.45971885</v>
      </c>
      <c r="L92" s="102">
        <f t="shared" ca="1" si="6"/>
        <v>127131420.71687683</v>
      </c>
      <c r="M92" s="102">
        <f ca="1">SUM(M89:M91)</f>
        <v>130398992.11441699</v>
      </c>
      <c r="N92" s="102">
        <f ca="1">SUM(N89:N91)</f>
        <v>165225393.99499997</v>
      </c>
      <c r="O92" s="102">
        <f t="shared" ca="1" si="6"/>
        <v>148536215.37963751</v>
      </c>
      <c r="P92" s="102">
        <f t="shared" ca="1" si="6"/>
        <v>131697134.52887501</v>
      </c>
      <c r="Q92" s="102">
        <f t="shared" ca="1" si="6"/>
        <v>174621942.51850003</v>
      </c>
      <c r="R92" s="102">
        <f t="shared" ca="1" si="6"/>
        <v>238681465.27499998</v>
      </c>
      <c r="S92" s="102">
        <f t="shared" ca="1" si="6"/>
        <v>290175385.2389183</v>
      </c>
    </row>
    <row r="93" spans="1:19" ht="15.75">
      <c r="A93" s="71"/>
      <c r="B93" s="71"/>
      <c r="C93" s="71"/>
      <c r="D93" s="71"/>
      <c r="E93" s="107"/>
      <c r="L93" s="129"/>
      <c r="M93" s="129"/>
      <c r="N93" s="129"/>
      <c r="O93" s="129"/>
      <c r="P93" s="129"/>
      <c r="Q93" s="129"/>
      <c r="R93" s="129"/>
      <c r="S93" s="129"/>
    </row>
    <row r="94" spans="1:19" ht="15.75">
      <c r="A94" s="70" t="s">
        <v>83</v>
      </c>
      <c r="B94" s="71"/>
      <c r="C94" s="71"/>
      <c r="D94" s="71"/>
      <c r="E94" s="106" t="s">
        <v>105</v>
      </c>
      <c r="F94" s="102">
        <v>126370845.3</v>
      </c>
      <c r="G94" s="102">
        <v>126370845.3</v>
      </c>
      <c r="H94" s="102">
        <v>126370845.3</v>
      </c>
      <c r="I94" s="102">
        <v>126370845.3</v>
      </c>
      <c r="J94" s="102">
        <v>208894343.86999997</v>
      </c>
      <c r="K94" s="102">
        <v>208894343.86999997</v>
      </c>
      <c r="L94" s="129">
        <v>208692523.86999997</v>
      </c>
      <c r="M94" s="129">
        <v>226531380.71000001</v>
      </c>
      <c r="N94" s="129">
        <v>259815306.41</v>
      </c>
      <c r="O94" s="129">
        <v>259876757.41</v>
      </c>
      <c r="P94" s="129">
        <v>259876757.41</v>
      </c>
      <c r="Q94" s="129">
        <v>273609029.60000002</v>
      </c>
      <c r="R94" s="129">
        <v>295073383.81</v>
      </c>
      <c r="S94" s="129">
        <v>293545262.67000002</v>
      </c>
    </row>
    <row r="95" spans="1:19" ht="15.75">
      <c r="A95" s="70" t="s">
        <v>84</v>
      </c>
      <c r="B95" s="71"/>
      <c r="C95" s="71"/>
      <c r="D95" s="71"/>
      <c r="E95" s="106" t="s">
        <v>105</v>
      </c>
      <c r="F95" s="102">
        <v>4411058.17</v>
      </c>
      <c r="G95" s="102">
        <v>4411058.17</v>
      </c>
      <c r="H95" s="102">
        <v>4411058.17</v>
      </c>
      <c r="I95" s="102">
        <v>4895870.17</v>
      </c>
      <c r="J95" s="102">
        <v>4631440.9300000006</v>
      </c>
      <c r="K95" s="102">
        <v>4631440.9300000006</v>
      </c>
      <c r="L95" s="129">
        <v>4207450.9300000006</v>
      </c>
      <c r="M95" s="129">
        <v>6316137.29</v>
      </c>
      <c r="N95" s="129">
        <v>4934101.34</v>
      </c>
      <c r="O95" s="129">
        <v>4934101.34</v>
      </c>
      <c r="P95" s="129">
        <v>4934101.34</v>
      </c>
      <c r="Q95" s="129">
        <v>4613847.97</v>
      </c>
      <c r="R95" s="129">
        <v>5067473.67</v>
      </c>
      <c r="S95" s="129">
        <v>5001985.67</v>
      </c>
    </row>
    <row r="96" spans="1:19" ht="15.75">
      <c r="A96" s="70" t="s">
        <v>85</v>
      </c>
      <c r="B96" s="71"/>
      <c r="C96" s="71"/>
      <c r="D96" s="71"/>
      <c r="E96" s="106" t="s">
        <v>106</v>
      </c>
      <c r="F96" s="102">
        <v>-28270993.390000001</v>
      </c>
      <c r="G96" s="102">
        <v>-16245009.260000002</v>
      </c>
      <c r="H96" s="102">
        <v>-46078855.289999999</v>
      </c>
      <c r="I96" s="102">
        <v>-39442725.289999999</v>
      </c>
      <c r="J96" s="102">
        <v>-46685655.719999999</v>
      </c>
      <c r="K96" s="102">
        <v>-36475635.109999999</v>
      </c>
      <c r="L96" s="129">
        <v>-49988144.200000003</v>
      </c>
      <c r="M96" s="129">
        <v>-59575458.799999997</v>
      </c>
      <c r="N96" s="129">
        <v>-44929499.660000004</v>
      </c>
      <c r="O96" s="129">
        <v>-51839306.240000002</v>
      </c>
      <c r="P96" s="129">
        <v>-84294269.450000003</v>
      </c>
      <c r="Q96" s="129">
        <v>-64097834.43</v>
      </c>
      <c r="R96" s="129">
        <v>-43926961.879999995</v>
      </c>
      <c r="S96" s="129">
        <v>-21180887.399999999</v>
      </c>
    </row>
    <row r="97" spans="1:19" ht="15.75">
      <c r="A97" s="70" t="s">
        <v>86</v>
      </c>
      <c r="B97" s="71"/>
      <c r="C97" s="71"/>
      <c r="D97" s="71"/>
      <c r="E97" s="106" t="s">
        <v>106</v>
      </c>
      <c r="F97" s="102">
        <v>-2567059.54</v>
      </c>
      <c r="G97" s="102">
        <v>-2584724.67</v>
      </c>
      <c r="H97" s="102">
        <v>-2605491.9299999997</v>
      </c>
      <c r="I97" s="102">
        <v>-3084287.82</v>
      </c>
      <c r="J97" s="102">
        <v>-3127221.59</v>
      </c>
      <c r="K97" s="102">
        <v>-3337039.6799999997</v>
      </c>
      <c r="L97" s="129">
        <v>-2753709.6</v>
      </c>
      <c r="M97" s="129">
        <v>-1650954.4000000001</v>
      </c>
      <c r="N97" s="129">
        <v>-3021574.5300000003</v>
      </c>
      <c r="O97" s="129">
        <v>-3454577.67</v>
      </c>
      <c r="P97" s="129">
        <v>-3537022.3899999997</v>
      </c>
      <c r="Q97" s="129">
        <v>-3238976.9400000004</v>
      </c>
      <c r="R97" s="129">
        <v>-2954152.4</v>
      </c>
      <c r="S97" s="129">
        <v>-2966531.75</v>
      </c>
    </row>
    <row r="98" spans="1:19" ht="15.75">
      <c r="A98" s="70" t="s">
        <v>87</v>
      </c>
      <c r="B98" s="71"/>
      <c r="C98" s="71"/>
      <c r="D98" s="71"/>
      <c r="E98" s="106" t="s">
        <v>109</v>
      </c>
      <c r="F98" s="102">
        <v>1143559.71</v>
      </c>
      <c r="G98" s="102">
        <v>1249939.29</v>
      </c>
      <c r="H98" s="102">
        <v>-8153630.9400000004</v>
      </c>
      <c r="I98" s="102">
        <v>9216555.7600000016</v>
      </c>
      <c r="J98" s="102">
        <v>-12571741.189999999</v>
      </c>
      <c r="K98" s="102">
        <v>-18974297.470000003</v>
      </c>
      <c r="L98" s="129">
        <v>-30902271.390000001</v>
      </c>
      <c r="M98" s="129">
        <v>-38603365.359999999</v>
      </c>
      <c r="N98" s="129">
        <v>-48323137.209999993</v>
      </c>
      <c r="O98" s="129">
        <v>-57138135.559999995</v>
      </c>
      <c r="P98" s="129">
        <v>-42429018.309999995</v>
      </c>
      <c r="Q98" s="129">
        <v>-33978985.93</v>
      </c>
      <c r="R98" s="129">
        <v>-13659683.58</v>
      </c>
      <c r="S98" s="129">
        <v>14781441.560000001</v>
      </c>
    </row>
    <row r="99" spans="1:19" ht="15.75">
      <c r="A99" s="70" t="s">
        <v>88</v>
      </c>
      <c r="B99" s="71"/>
      <c r="C99" s="71"/>
      <c r="D99" s="71"/>
      <c r="E99" s="106" t="s">
        <v>109</v>
      </c>
      <c r="F99" s="113">
        <v>73507.95</v>
      </c>
      <c r="G99" s="113">
        <v>99288.17</v>
      </c>
      <c r="H99" s="113">
        <v>-707968.61</v>
      </c>
      <c r="I99" s="113">
        <v>852356.11</v>
      </c>
      <c r="J99" s="113">
        <v>-899880.5</v>
      </c>
      <c r="K99" s="113">
        <v>-1332508.5900000001</v>
      </c>
      <c r="L99" s="133">
        <v>-2124433.12</v>
      </c>
      <c r="M99" s="133">
        <v>-2618751.77</v>
      </c>
      <c r="N99" s="133">
        <v>-3249801.63</v>
      </c>
      <c r="O99" s="133">
        <v>-3842623.12</v>
      </c>
      <c r="P99" s="133">
        <v>-2853413.43</v>
      </c>
      <c r="Q99" s="133">
        <v>-2285136.21</v>
      </c>
      <c r="R99" s="133">
        <v>-918633.69</v>
      </c>
      <c r="S99" s="133">
        <v>994073.61</v>
      </c>
    </row>
    <row r="100" spans="1:19" ht="15.75">
      <c r="A100" s="70" t="s">
        <v>110</v>
      </c>
      <c r="B100" s="71"/>
      <c r="C100" s="71"/>
      <c r="D100" s="71"/>
      <c r="E100" s="107"/>
      <c r="F100" s="102">
        <f t="shared" ref="F100:S100" si="7">SUM(F94:F99)</f>
        <v>101160918.19999999</v>
      </c>
      <c r="G100" s="102">
        <f t="shared" si="7"/>
        <v>113301397</v>
      </c>
      <c r="H100" s="102">
        <f t="shared" si="7"/>
        <v>73235956.700000003</v>
      </c>
      <c r="I100" s="102">
        <f t="shared" si="7"/>
        <v>98808614.230000019</v>
      </c>
      <c r="J100" s="102">
        <f t="shared" si="7"/>
        <v>150241285.79999998</v>
      </c>
      <c r="K100" s="102">
        <f t="shared" si="7"/>
        <v>153406303.94999999</v>
      </c>
      <c r="L100" s="102">
        <f t="shared" si="7"/>
        <v>127131416.48999996</v>
      </c>
      <c r="M100" s="102">
        <f>SUM(M94:M99)</f>
        <v>130398987.66999999</v>
      </c>
      <c r="N100" s="102">
        <f>SUM(N94:N99)</f>
        <v>165225394.72000003</v>
      </c>
      <c r="O100" s="102">
        <f t="shared" si="7"/>
        <v>148536216.16</v>
      </c>
      <c r="P100" s="102">
        <f t="shared" si="7"/>
        <v>131697135.17000002</v>
      </c>
      <c r="Q100" s="102">
        <f t="shared" si="7"/>
        <v>174621944.06000003</v>
      </c>
      <c r="R100" s="102">
        <f t="shared" si="7"/>
        <v>238681425.93000001</v>
      </c>
      <c r="S100" s="102">
        <f t="shared" si="7"/>
        <v>290175344.36000007</v>
      </c>
    </row>
    <row r="101" spans="1:19" ht="15.75">
      <c r="A101" s="71"/>
      <c r="B101" s="71"/>
      <c r="C101" s="71"/>
      <c r="D101" s="71"/>
      <c r="E101" s="107"/>
      <c r="L101" s="129"/>
      <c r="M101" s="129"/>
      <c r="N101" s="129"/>
      <c r="O101" s="129"/>
      <c r="P101" s="129"/>
      <c r="Q101" s="129"/>
      <c r="R101" s="129"/>
      <c r="S101" s="129"/>
    </row>
    <row r="102" spans="1:19" ht="15.75">
      <c r="A102" s="70"/>
      <c r="B102" s="71"/>
      <c r="C102" s="71"/>
      <c r="D102" s="71"/>
      <c r="E102" s="107"/>
      <c r="F102" s="129">
        <f t="shared" ref="F102:M102" ca="1" si="8">F92-F100</f>
        <v>-6.9999963045120239E-2</v>
      </c>
      <c r="G102" s="129">
        <f t="shared" ca="1" si="8"/>
        <v>0.62500002980232239</v>
      </c>
      <c r="H102" s="129">
        <f t="shared" ca="1" si="8"/>
        <v>-0.33499997854232788</v>
      </c>
      <c r="I102" s="129">
        <f t="shared" ca="1" si="8"/>
        <v>0.45750002562999725</v>
      </c>
      <c r="J102" s="129">
        <f t="shared" ca="1" si="8"/>
        <v>-0.23500007390975952</v>
      </c>
      <c r="K102" s="129">
        <f t="shared" ca="1" si="8"/>
        <v>-0.49028113484382629</v>
      </c>
      <c r="L102" s="129">
        <f t="shared" ca="1" si="8"/>
        <v>4.2268768697977066</v>
      </c>
      <c r="M102" s="129">
        <f t="shared" ca="1" si="8"/>
        <v>4.4444169998168945</v>
      </c>
      <c r="N102" s="129">
        <f t="shared" ref="N102:S102" ca="1" si="9">N92-N100</f>
        <v>-0.7250000536441803</v>
      </c>
      <c r="O102" s="129">
        <f t="shared" ca="1" si="9"/>
        <v>-0.78036248683929443</v>
      </c>
      <c r="P102" s="129">
        <f t="shared" ca="1" si="9"/>
        <v>-0.64112500846385956</v>
      </c>
      <c r="Q102" s="129">
        <f t="shared" ca="1" si="9"/>
        <v>-1.5415000021457672</v>
      </c>
      <c r="R102" s="129">
        <f t="shared" ca="1" si="9"/>
        <v>39.344999969005585</v>
      </c>
      <c r="S102" s="129">
        <f t="shared" ca="1" si="9"/>
        <v>40.8789182305336</v>
      </c>
    </row>
    <row r="103" spans="1:19" ht="15.75">
      <c r="A103" s="71"/>
      <c r="B103" s="71"/>
      <c r="C103" s="71"/>
      <c r="D103" s="71"/>
      <c r="E103" s="107"/>
      <c r="L103" s="129"/>
      <c r="M103" s="129"/>
      <c r="N103" s="129"/>
      <c r="O103" s="129"/>
      <c r="P103" s="129"/>
      <c r="Q103" s="129"/>
      <c r="R103" s="129"/>
      <c r="S103" s="129"/>
    </row>
    <row r="104" spans="1:19" ht="15.75">
      <c r="A104" s="70"/>
      <c r="B104" s="71"/>
      <c r="C104" s="71"/>
      <c r="D104" s="71"/>
      <c r="E104" s="107"/>
      <c r="K104" s="129"/>
      <c r="L104" s="129"/>
      <c r="M104" s="135"/>
      <c r="O104" s="129"/>
      <c r="P104" s="129"/>
      <c r="Q104" s="129"/>
      <c r="R104" s="129"/>
      <c r="S104" s="129"/>
    </row>
    <row r="105" spans="1:19">
      <c r="K105" s="129"/>
      <c r="L105" s="129"/>
      <c r="M105" s="135"/>
      <c r="O105" s="129"/>
      <c r="P105" s="129"/>
      <c r="Q105" s="129"/>
      <c r="R105" s="129"/>
      <c r="S105" s="129"/>
    </row>
    <row r="106" spans="1:19">
      <c r="K106" s="129"/>
      <c r="L106" s="129"/>
      <c r="M106" s="135"/>
      <c r="O106" s="129"/>
      <c r="P106" s="129"/>
      <c r="Q106" s="129"/>
      <c r="R106" s="129"/>
      <c r="S106" s="129"/>
    </row>
    <row r="107" spans="1:19">
      <c r="K107" s="129"/>
      <c r="L107" s="129"/>
      <c r="M107" s="135"/>
      <c r="O107" s="129"/>
      <c r="P107" s="129"/>
      <c r="Q107" s="129"/>
      <c r="R107" s="129"/>
      <c r="S107" s="129"/>
    </row>
    <row r="108" spans="1:19">
      <c r="K108"/>
      <c r="M108" s="135"/>
    </row>
    <row r="109" spans="1:19">
      <c r="L109" s="102"/>
      <c r="M109" s="135"/>
      <c r="O109" s="102"/>
      <c r="P109" s="102"/>
      <c r="Q109" s="102"/>
      <c r="R109" s="102"/>
      <c r="S109" s="102"/>
    </row>
    <row r="110" spans="1:19">
      <c r="L110" s="102"/>
      <c r="M110" s="135"/>
      <c r="O110" s="102"/>
      <c r="P110" s="102"/>
      <c r="Q110" s="102"/>
      <c r="R110" s="102"/>
      <c r="S110" s="102"/>
    </row>
    <row r="111" spans="1:19">
      <c r="L111" s="129"/>
      <c r="M111" s="102"/>
      <c r="N111" s="102"/>
      <c r="O111" s="102"/>
      <c r="P111" s="102"/>
      <c r="Q111" s="102"/>
      <c r="R111" s="102"/>
      <c r="S111" s="102"/>
    </row>
    <row r="112" spans="1:19">
      <c r="L112" s="129"/>
      <c r="M112" s="102"/>
      <c r="N112" s="102"/>
      <c r="O112" s="102"/>
      <c r="P112" s="102"/>
      <c r="Q112" s="102"/>
      <c r="R112" s="102"/>
      <c r="S112" s="102"/>
    </row>
    <row r="113" spans="11:19">
      <c r="L113" s="129"/>
      <c r="M113" s="102"/>
      <c r="N113" s="102"/>
      <c r="O113" s="102"/>
      <c r="P113" s="102"/>
      <c r="Q113" s="102"/>
      <c r="R113" s="102"/>
      <c r="S113" s="102"/>
    </row>
    <row r="114" spans="11:19">
      <c r="L114" s="129"/>
      <c r="M114" s="102"/>
      <c r="N114" s="102"/>
      <c r="O114" s="102"/>
      <c r="P114" s="102"/>
      <c r="Q114" s="102"/>
      <c r="R114" s="102"/>
      <c r="S114" s="102"/>
    </row>
    <row r="115" spans="11:19">
      <c r="L115" s="129"/>
    </row>
    <row r="116" spans="11:19">
      <c r="L116" s="129"/>
    </row>
    <row r="117" spans="11:19">
      <c r="L117" s="129"/>
    </row>
    <row r="119" spans="11:19">
      <c r="K119" s="134"/>
      <c r="L119" s="135"/>
    </row>
    <row r="120" spans="11:19">
      <c r="K120" s="134"/>
      <c r="L120" s="135"/>
    </row>
    <row r="121" spans="11:19">
      <c r="K121" s="134"/>
      <c r="L121" s="135"/>
    </row>
    <row r="122" spans="11:19">
      <c r="K122" s="134"/>
      <c r="L122" s="135"/>
    </row>
    <row r="123" spans="11:19">
      <c r="K123" s="134"/>
      <c r="L123" s="135"/>
    </row>
    <row r="124" spans="11:19">
      <c r="K124" s="134"/>
      <c r="L124" s="135"/>
    </row>
    <row r="125" spans="11:19">
      <c r="K125" s="134"/>
      <c r="L125" s="135"/>
    </row>
    <row r="126" spans="11:19">
      <c r="L126" s="135"/>
    </row>
    <row r="127" spans="11:19">
      <c r="L127" s="135"/>
    </row>
  </sheetData>
  <printOptions horizontalCentered="1"/>
  <pageMargins left="0.45" right="0.45" top="0.75" bottom="0.75" header="0.25" footer="0.25"/>
  <pageSetup scale="45" orientation="landscape" r:id="rId1"/>
  <headerFooter>
    <oddHeader>&amp;R&amp;12CASE NO. 2015-00343
ATTACHMENT 1
TO STAFF DR  NO. 1-47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zoomScale="80" zoomScaleNormal="80" workbookViewId="0"/>
  </sheetViews>
  <sheetFormatPr defaultRowHeight="15"/>
  <cols>
    <col min="1" max="1" width="45" bestFit="1" customWidth="1"/>
    <col min="5" max="5" width="14.5703125" bestFit="1" customWidth="1"/>
    <col min="6" max="6" width="14.7109375" customWidth="1"/>
    <col min="7" max="7" width="13.140625" customWidth="1"/>
    <col min="8" max="8" width="15.140625" customWidth="1"/>
    <col min="9" max="9" width="16.42578125" customWidth="1"/>
    <col min="10" max="10" width="13.140625" customWidth="1"/>
    <col min="11" max="18" width="16.42578125" bestFit="1" customWidth="1"/>
  </cols>
  <sheetData>
    <row r="1" spans="1:18" ht="15.75">
      <c r="A1" s="9" t="s">
        <v>184</v>
      </c>
      <c r="B1" s="6"/>
      <c r="C1" s="10"/>
      <c r="D1" s="7"/>
    </row>
    <row r="2" spans="1:18" ht="15.75">
      <c r="A2" s="6"/>
      <c r="B2" s="6"/>
      <c r="C2" s="10"/>
      <c r="D2" s="7"/>
    </row>
    <row r="3" spans="1:18" ht="15.75">
      <c r="A3" s="7" t="s">
        <v>0</v>
      </c>
      <c r="B3" s="6"/>
      <c r="C3" s="6"/>
      <c r="D3" s="6"/>
    </row>
    <row r="4" spans="1:18" ht="15.75">
      <c r="A4" s="7" t="s">
        <v>7</v>
      </c>
      <c r="B4" s="6"/>
      <c r="C4" s="6"/>
      <c r="D4" s="6"/>
    </row>
    <row r="5" spans="1:18" ht="15.75">
      <c r="A5" s="76" t="s">
        <v>189</v>
      </c>
      <c r="B5" s="6"/>
      <c r="C5" s="6"/>
      <c r="D5" s="6"/>
    </row>
    <row r="6" spans="1:18">
      <c r="A6" s="8"/>
      <c r="B6" s="11"/>
      <c r="C6" s="8"/>
      <c r="D6" s="11"/>
    </row>
    <row r="7" spans="1:18" ht="15.75">
      <c r="A7" s="9" t="s">
        <v>2</v>
      </c>
      <c r="B7" s="6"/>
      <c r="C7" s="6"/>
      <c r="D7" s="6"/>
      <c r="E7" s="23" t="s">
        <v>94</v>
      </c>
      <c r="F7" s="23" t="s">
        <v>8</v>
      </c>
      <c r="G7" s="23" t="s">
        <v>8</v>
      </c>
      <c r="H7" s="23" t="s">
        <v>8</v>
      </c>
      <c r="I7" s="23" t="s">
        <v>8</v>
      </c>
      <c r="J7" s="24" t="s">
        <v>9</v>
      </c>
      <c r="K7" s="24" t="s">
        <v>9</v>
      </c>
      <c r="L7" s="24" t="s">
        <v>9</v>
      </c>
      <c r="M7" s="24" t="s">
        <v>9</v>
      </c>
      <c r="N7" s="24" t="s">
        <v>187</v>
      </c>
      <c r="O7" s="24" t="s">
        <v>187</v>
      </c>
      <c r="P7" s="24" t="s">
        <v>187</v>
      </c>
      <c r="Q7" s="24" t="s">
        <v>187</v>
      </c>
      <c r="R7" s="24" t="s">
        <v>188</v>
      </c>
    </row>
    <row r="8" spans="1:18" ht="15.75">
      <c r="A8" s="6"/>
      <c r="B8" s="6"/>
      <c r="C8" s="6"/>
      <c r="D8" s="6"/>
      <c r="E8" s="57">
        <v>40816</v>
      </c>
      <c r="F8" s="57">
        <v>40908</v>
      </c>
      <c r="G8" s="57">
        <v>40999</v>
      </c>
      <c r="H8" s="57">
        <v>41090</v>
      </c>
      <c r="I8" s="57">
        <v>41182</v>
      </c>
      <c r="J8" s="56">
        <v>41274</v>
      </c>
      <c r="K8" s="56">
        <v>41364</v>
      </c>
      <c r="L8" s="56">
        <v>41455</v>
      </c>
      <c r="M8" s="56">
        <v>41547</v>
      </c>
      <c r="N8" s="56">
        <v>41639</v>
      </c>
      <c r="O8" s="56">
        <v>41729</v>
      </c>
      <c r="P8" s="56">
        <v>41820</v>
      </c>
      <c r="Q8" s="56">
        <v>41912</v>
      </c>
      <c r="R8" s="56">
        <v>42004</v>
      </c>
    </row>
    <row r="9" spans="1:18" ht="25.5">
      <c r="A9" s="8" t="s">
        <v>3</v>
      </c>
      <c r="B9" s="11" t="s">
        <v>4</v>
      </c>
      <c r="C9" s="8" t="s">
        <v>5</v>
      </c>
      <c r="D9" s="11" t="s">
        <v>6</v>
      </c>
      <c r="E9" s="55" t="s">
        <v>101</v>
      </c>
      <c r="F9" s="55" t="s">
        <v>101</v>
      </c>
      <c r="G9" s="55" t="s">
        <v>101</v>
      </c>
      <c r="H9" s="55" t="s">
        <v>101</v>
      </c>
      <c r="I9" s="55" t="s">
        <v>101</v>
      </c>
      <c r="J9" s="55" t="s">
        <v>101</v>
      </c>
      <c r="K9" s="55" t="s">
        <v>101</v>
      </c>
      <c r="L9" s="55" t="s">
        <v>101</v>
      </c>
      <c r="M9" s="55" t="s">
        <v>101</v>
      </c>
      <c r="N9" s="55" t="s">
        <v>101</v>
      </c>
      <c r="O9" s="55" t="s">
        <v>101</v>
      </c>
      <c r="P9" s="55" t="s">
        <v>101</v>
      </c>
      <c r="Q9" s="55" t="s">
        <v>101</v>
      </c>
      <c r="R9" s="55" t="s">
        <v>101</v>
      </c>
    </row>
    <row r="10" spans="1:18">
      <c r="A10" s="35" t="s">
        <v>11</v>
      </c>
      <c r="B10" s="39" t="s">
        <v>123</v>
      </c>
      <c r="C10">
        <v>1900</v>
      </c>
      <c r="D10" t="s">
        <v>105</v>
      </c>
      <c r="E10" s="32">
        <v>296049.21000000002</v>
      </c>
      <c r="F10" s="32">
        <v>296049.21000000002</v>
      </c>
      <c r="G10" s="32">
        <v>296049.21000000002</v>
      </c>
      <c r="H10" s="32">
        <v>296049.21000000002</v>
      </c>
      <c r="I10" s="33">
        <v>47253.994999999995</v>
      </c>
      <c r="J10" s="33">
        <v>47253.994999999995</v>
      </c>
      <c r="K10" s="129">
        <v>47253.994999999995</v>
      </c>
      <c r="L10" s="129">
        <v>45856.775000000001</v>
      </c>
      <c r="M10" s="129">
        <v>338615.61</v>
      </c>
      <c r="N10" s="129">
        <v>338615.61</v>
      </c>
      <c r="O10" s="129">
        <v>338615.61</v>
      </c>
      <c r="P10" s="129">
        <v>284782.85499999998</v>
      </c>
      <c r="Q10" s="129">
        <v>-7975.98</v>
      </c>
      <c r="R10" s="129">
        <v>-7975.98</v>
      </c>
    </row>
    <row r="11" spans="1:18">
      <c r="A11" s="35" t="s">
        <v>15</v>
      </c>
      <c r="B11" s="39" t="s">
        <v>126</v>
      </c>
      <c r="C11">
        <v>2830</v>
      </c>
      <c r="D11" t="s">
        <v>109</v>
      </c>
      <c r="E11" s="32">
        <v>0</v>
      </c>
      <c r="F11" s="32">
        <v>0</v>
      </c>
      <c r="G11" s="32">
        <v>0</v>
      </c>
      <c r="H11" s="32">
        <v>0</v>
      </c>
      <c r="I11" s="33">
        <v>-59916.939999999995</v>
      </c>
      <c r="J11" s="33">
        <v>-59916.939999999995</v>
      </c>
      <c r="K11" s="129">
        <v>-59916.939999999995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</row>
    <row r="12" spans="1:18">
      <c r="A12" s="35" t="s">
        <v>16</v>
      </c>
      <c r="B12" s="39" t="s">
        <v>127</v>
      </c>
      <c r="C12">
        <v>1900</v>
      </c>
      <c r="D12" t="s">
        <v>105</v>
      </c>
      <c r="E12" s="32">
        <v>137412.07999999999</v>
      </c>
      <c r="F12" s="32">
        <v>137412.07999999999</v>
      </c>
      <c r="G12" s="32">
        <v>137412.07999999999</v>
      </c>
      <c r="H12" s="32">
        <v>137412.07999999999</v>
      </c>
      <c r="I12" s="33">
        <v>0</v>
      </c>
      <c r="J12" s="33">
        <v>0</v>
      </c>
      <c r="K12" s="129">
        <v>0</v>
      </c>
      <c r="L12" s="129">
        <v>0</v>
      </c>
      <c r="M12" s="129">
        <v>310.25</v>
      </c>
      <c r="N12" s="129">
        <v>310.25</v>
      </c>
      <c r="O12" s="129">
        <v>310.25</v>
      </c>
      <c r="P12" s="129">
        <v>41995.074999999997</v>
      </c>
      <c r="Q12" s="129">
        <v>0</v>
      </c>
      <c r="R12" s="129">
        <v>0</v>
      </c>
    </row>
    <row r="13" spans="1:18">
      <c r="A13" s="35" t="s">
        <v>38</v>
      </c>
      <c r="B13" s="39" t="s">
        <v>136</v>
      </c>
      <c r="C13">
        <v>1900</v>
      </c>
      <c r="D13" t="s">
        <v>105</v>
      </c>
      <c r="E13" s="32">
        <v>962004.80999999994</v>
      </c>
      <c r="F13" s="32">
        <v>962004.80999999994</v>
      </c>
      <c r="G13" s="32">
        <v>962004.80999999994</v>
      </c>
      <c r="H13" s="32">
        <v>962004.80999999994</v>
      </c>
      <c r="I13" s="33">
        <v>1013353.88</v>
      </c>
      <c r="J13" s="33">
        <v>1013353.88</v>
      </c>
      <c r="K13" s="129">
        <v>1013353.88</v>
      </c>
      <c r="L13" s="129">
        <v>1013353.88</v>
      </c>
      <c r="M13" s="129">
        <v>944483.85499999998</v>
      </c>
      <c r="N13" s="129">
        <v>944483.85499999998</v>
      </c>
      <c r="O13" s="129">
        <v>944483.85499999998</v>
      </c>
      <c r="P13" s="129">
        <v>944483.85499999998</v>
      </c>
      <c r="Q13" s="129">
        <v>676689.55999999994</v>
      </c>
      <c r="R13" s="129">
        <v>676689.55999999994</v>
      </c>
    </row>
    <row r="14" spans="1:18">
      <c r="A14" s="134" t="s">
        <v>39</v>
      </c>
      <c r="B14" s="39" t="s">
        <v>137</v>
      </c>
      <c r="C14">
        <v>2820</v>
      </c>
      <c r="D14" s="106" t="s">
        <v>106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-8958.1949999999997</v>
      </c>
      <c r="R14" s="129">
        <v>-8958.1949999999997</v>
      </c>
    </row>
    <row r="15" spans="1:18">
      <c r="A15" s="35" t="s">
        <v>44</v>
      </c>
      <c r="B15" s="39" t="s">
        <v>180</v>
      </c>
      <c r="C15">
        <v>1900</v>
      </c>
      <c r="D15" t="s">
        <v>105</v>
      </c>
      <c r="E15" s="32">
        <v>183915.9</v>
      </c>
      <c r="F15" s="32">
        <v>183915.9</v>
      </c>
      <c r="G15" s="32">
        <v>183915.9</v>
      </c>
      <c r="H15" s="32">
        <v>183915.9</v>
      </c>
      <c r="I15" s="33">
        <v>0</v>
      </c>
      <c r="J15" s="33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</row>
    <row r="16" spans="1:18" s="17" customFormat="1">
      <c r="A16" s="35" t="s">
        <v>36</v>
      </c>
      <c r="B16" s="39" t="s">
        <v>128</v>
      </c>
      <c r="C16">
        <v>2830</v>
      </c>
      <c r="D16" t="s">
        <v>109</v>
      </c>
      <c r="E16" s="32">
        <v>28411.19</v>
      </c>
      <c r="F16" s="32">
        <v>28411.19</v>
      </c>
      <c r="G16" s="32">
        <v>28411.19</v>
      </c>
      <c r="H16" s="32">
        <v>28411.19</v>
      </c>
      <c r="I16" s="33">
        <v>-61846.33</v>
      </c>
      <c r="J16" s="33">
        <v>-61846.33</v>
      </c>
      <c r="K16" s="131">
        <v>-61846.33</v>
      </c>
      <c r="L16" s="131">
        <v>-61846.33</v>
      </c>
      <c r="M16" s="131">
        <v>-1079984.9949999999</v>
      </c>
      <c r="N16" s="131">
        <v>-1079984.9949999999</v>
      </c>
      <c r="O16" s="131">
        <v>-1079984.9949999999</v>
      </c>
      <c r="P16" s="131">
        <v>-1430685.0249999999</v>
      </c>
      <c r="Q16" s="131">
        <v>-1162679.76</v>
      </c>
      <c r="R16" s="131">
        <v>-1162679.76</v>
      </c>
    </row>
    <row r="17" spans="1:18">
      <c r="A17" s="35" t="s">
        <v>37</v>
      </c>
      <c r="B17" s="39" t="s">
        <v>129</v>
      </c>
      <c r="C17">
        <v>2830</v>
      </c>
      <c r="D17" t="s">
        <v>109</v>
      </c>
      <c r="E17" s="32">
        <v>-2126384.08</v>
      </c>
      <c r="F17" s="32">
        <v>-2126384.08</v>
      </c>
      <c r="G17" s="32">
        <v>-2126384.08</v>
      </c>
      <c r="H17" s="32">
        <v>-2126384.08</v>
      </c>
      <c r="I17" s="33">
        <v>-1157649.6950000001</v>
      </c>
      <c r="J17" s="33">
        <v>-1157649.6950000001</v>
      </c>
      <c r="K17" s="129">
        <v>-1157649.6950000001</v>
      </c>
      <c r="L17" s="129">
        <v>-1157649.6950000001</v>
      </c>
      <c r="M17" s="129">
        <v>-67853.865000000005</v>
      </c>
      <c r="N17" s="129">
        <v>-67853.865000000005</v>
      </c>
      <c r="O17" s="129">
        <v>-67853.865000000005</v>
      </c>
      <c r="P17" s="129">
        <v>-67853.865000000005</v>
      </c>
      <c r="Q17" s="129">
        <v>-67853.865000000005</v>
      </c>
      <c r="R17" s="129">
        <v>-67853.865000000005</v>
      </c>
    </row>
    <row r="18" spans="1:18">
      <c r="A18" s="35" t="s">
        <v>18</v>
      </c>
      <c r="B18" s="39" t="s">
        <v>147</v>
      </c>
      <c r="C18">
        <v>1900</v>
      </c>
      <c r="D18" t="s">
        <v>105</v>
      </c>
      <c r="E18" s="32">
        <v>197373.91</v>
      </c>
      <c r="F18" s="32">
        <v>197373.91</v>
      </c>
      <c r="G18" s="32">
        <v>197373.91</v>
      </c>
      <c r="H18" s="32">
        <v>197373.91</v>
      </c>
      <c r="I18" s="33">
        <v>0</v>
      </c>
      <c r="J18" s="33">
        <v>0</v>
      </c>
      <c r="K18" s="129">
        <v>0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</row>
    <row r="19" spans="1:18">
      <c r="A19" s="35" t="s">
        <v>46</v>
      </c>
      <c r="B19" s="39" t="s">
        <v>152</v>
      </c>
      <c r="C19">
        <v>1900</v>
      </c>
      <c r="D19" t="s">
        <v>105</v>
      </c>
      <c r="E19" s="32">
        <v>10398.48</v>
      </c>
      <c r="F19" s="32">
        <v>10398.48</v>
      </c>
      <c r="G19" s="32">
        <v>10398.48</v>
      </c>
      <c r="H19" s="32">
        <v>10398.48</v>
      </c>
      <c r="I19" s="33">
        <v>6154.63</v>
      </c>
      <c r="J19" s="33">
        <v>6154.63</v>
      </c>
      <c r="K19" s="129">
        <v>6154.63</v>
      </c>
      <c r="L19" s="129">
        <v>6154.63</v>
      </c>
      <c r="M19" s="129">
        <v>2051.2999999999997</v>
      </c>
      <c r="N19" s="129">
        <v>2051.2999999999997</v>
      </c>
      <c r="O19" s="129">
        <v>2051.2999999999997</v>
      </c>
      <c r="P19" s="129">
        <v>2051.2999999999997</v>
      </c>
      <c r="Q19" s="129">
        <v>-2052.0299999999997</v>
      </c>
      <c r="R19" s="129">
        <v>-2052.0299999999997</v>
      </c>
    </row>
    <row r="20" spans="1:18">
      <c r="A20" s="35" t="s">
        <v>48</v>
      </c>
      <c r="B20" s="39" t="s">
        <v>131</v>
      </c>
      <c r="C20">
        <v>1900</v>
      </c>
      <c r="D20" t="s">
        <v>105</v>
      </c>
      <c r="E20" s="32">
        <v>47805.85</v>
      </c>
      <c r="F20" s="32">
        <v>47805.85</v>
      </c>
      <c r="G20" s="32">
        <v>47805.85</v>
      </c>
      <c r="H20" s="32">
        <v>47805.85</v>
      </c>
      <c r="I20" s="33">
        <v>75974.384999999995</v>
      </c>
      <c r="J20" s="33">
        <v>75974.384999999995</v>
      </c>
      <c r="K20" s="129">
        <v>75974.384999999995</v>
      </c>
      <c r="L20" s="129">
        <v>75974.384999999995</v>
      </c>
      <c r="M20" s="129">
        <v>257317.69999999998</v>
      </c>
      <c r="N20" s="129">
        <v>257317.69999999998</v>
      </c>
      <c r="O20" s="129">
        <v>257317.69999999998</v>
      </c>
      <c r="P20" s="129">
        <v>257317.69999999998</v>
      </c>
      <c r="Q20" s="129">
        <v>355526.79</v>
      </c>
      <c r="R20" s="129">
        <v>355526.79</v>
      </c>
    </row>
    <row r="21" spans="1:18">
      <c r="A21" s="35" t="s">
        <v>49</v>
      </c>
      <c r="B21" s="39" t="s">
        <v>132</v>
      </c>
      <c r="C21">
        <v>1900</v>
      </c>
      <c r="D21" t="s">
        <v>105</v>
      </c>
      <c r="E21" s="32">
        <v>429.2</v>
      </c>
      <c r="F21" s="32">
        <v>429.2</v>
      </c>
      <c r="G21" s="32">
        <v>429.2</v>
      </c>
      <c r="H21" s="32">
        <v>429.2</v>
      </c>
      <c r="I21" s="33">
        <v>423.4</v>
      </c>
      <c r="J21" s="33">
        <v>423.4</v>
      </c>
      <c r="K21" s="129">
        <v>423.4</v>
      </c>
      <c r="L21" s="129">
        <v>423.4</v>
      </c>
      <c r="M21" s="129">
        <v>423.4</v>
      </c>
      <c r="N21" s="129">
        <v>423.4</v>
      </c>
      <c r="O21" s="129">
        <v>423.4</v>
      </c>
      <c r="P21" s="129">
        <v>423.4</v>
      </c>
      <c r="Q21" s="129">
        <v>0</v>
      </c>
      <c r="R21" s="129">
        <v>0</v>
      </c>
    </row>
    <row r="22" spans="1:18">
      <c r="A22" s="35" t="s">
        <v>50</v>
      </c>
      <c r="B22" s="39" t="s">
        <v>153</v>
      </c>
      <c r="C22">
        <v>1900</v>
      </c>
      <c r="D22" t="s">
        <v>105</v>
      </c>
      <c r="E22" s="32">
        <v>356610.81</v>
      </c>
      <c r="F22" s="32">
        <v>356610.81</v>
      </c>
      <c r="G22" s="32">
        <v>356610.81</v>
      </c>
      <c r="H22" s="32">
        <v>356610.81</v>
      </c>
      <c r="I22" s="33">
        <v>433874.04</v>
      </c>
      <c r="J22" s="33">
        <v>433874.04</v>
      </c>
      <c r="K22" s="129">
        <v>433874.04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</row>
    <row r="23" spans="1:18">
      <c r="A23" s="35" t="s">
        <v>54</v>
      </c>
      <c r="B23" s="39" t="s">
        <v>133</v>
      </c>
      <c r="C23">
        <v>2830</v>
      </c>
      <c r="D23" t="s">
        <v>109</v>
      </c>
      <c r="E23" s="32">
        <v>-66536.36</v>
      </c>
      <c r="F23" s="32">
        <v>-66536.36</v>
      </c>
      <c r="G23" s="32">
        <v>-66536.36</v>
      </c>
      <c r="H23" s="32">
        <v>-66536.36</v>
      </c>
      <c r="I23" s="33">
        <v>-71861.2</v>
      </c>
      <c r="J23" s="33">
        <v>-71861.2</v>
      </c>
      <c r="K23" s="129">
        <v>-71861.2</v>
      </c>
      <c r="L23" s="129">
        <v>-71861.2</v>
      </c>
      <c r="M23" s="129">
        <v>-65858.41</v>
      </c>
      <c r="N23" s="129">
        <v>-65858.41</v>
      </c>
      <c r="O23" s="129">
        <v>-65858.41</v>
      </c>
      <c r="P23" s="129">
        <v>-65858.41</v>
      </c>
      <c r="Q23" s="129">
        <v>-87083.89</v>
      </c>
      <c r="R23" s="129">
        <v>-87083.89</v>
      </c>
    </row>
    <row r="24" spans="1:18">
      <c r="A24" s="35" t="s">
        <v>55</v>
      </c>
      <c r="B24" s="39" t="s">
        <v>134</v>
      </c>
      <c r="C24">
        <v>2830</v>
      </c>
      <c r="D24" t="s">
        <v>109</v>
      </c>
      <c r="E24" s="32">
        <v>-6758.79</v>
      </c>
      <c r="F24" s="32">
        <v>-6758.79</v>
      </c>
      <c r="G24" s="32">
        <v>-6758.79</v>
      </c>
      <c r="H24" s="32">
        <v>-6758.79</v>
      </c>
      <c r="I24" s="33">
        <v>0</v>
      </c>
      <c r="J24" s="33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6.9349999999999996</v>
      </c>
      <c r="R24" s="129">
        <v>6.9349999999999996</v>
      </c>
    </row>
    <row r="25" spans="1:18">
      <c r="A25" s="35" t="s">
        <v>25</v>
      </c>
      <c r="B25" s="39" t="s">
        <v>160</v>
      </c>
      <c r="C25">
        <v>1900</v>
      </c>
      <c r="D25" s="17" t="s">
        <v>105</v>
      </c>
      <c r="E25" s="26">
        <v>983977.63</v>
      </c>
      <c r="F25" s="26">
        <v>983977.63</v>
      </c>
      <c r="G25" s="26">
        <v>983977.63</v>
      </c>
      <c r="H25" s="26">
        <v>983977.63</v>
      </c>
      <c r="I25" s="27">
        <v>-1218005</v>
      </c>
      <c r="J25" s="27">
        <v>-1218005</v>
      </c>
      <c r="K25" s="133">
        <v>-1218005</v>
      </c>
      <c r="L25" s="133">
        <v>-1218005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</row>
    <row r="26" spans="1:18">
      <c r="A26" s="35"/>
      <c r="B26" s="39"/>
      <c r="C26" s="17"/>
      <c r="D26" s="17"/>
      <c r="E26" s="32">
        <f t="shared" ref="E26:R26" si="0">SUM(E10:E25)</f>
        <v>1004709.8399999999</v>
      </c>
      <c r="F26" s="32">
        <f t="shared" si="0"/>
        <v>1004709.8399999999</v>
      </c>
      <c r="G26" s="32">
        <f t="shared" si="0"/>
        <v>1004709.8399999999</v>
      </c>
      <c r="H26" s="32">
        <f t="shared" si="0"/>
        <v>1004709.8399999999</v>
      </c>
      <c r="I26" s="32">
        <f t="shared" si="0"/>
        <v>-992244.83499999996</v>
      </c>
      <c r="J26" s="32">
        <f t="shared" si="0"/>
        <v>-992244.83499999996</v>
      </c>
      <c r="K26" s="32">
        <f t="shared" si="0"/>
        <v>-992244.83499999996</v>
      </c>
      <c r="L26" s="32">
        <f t="shared" si="0"/>
        <v>-1367599.155</v>
      </c>
      <c r="M26" s="32">
        <f t="shared" si="0"/>
        <v>329504.84499999997</v>
      </c>
      <c r="N26" s="32">
        <f t="shared" si="0"/>
        <v>329504.84499999997</v>
      </c>
      <c r="O26" s="32">
        <f t="shared" si="0"/>
        <v>329504.84499999997</v>
      </c>
      <c r="P26" s="32">
        <f t="shared" si="0"/>
        <v>-33343.115000000013</v>
      </c>
      <c r="Q26" s="32">
        <f t="shared" si="0"/>
        <v>-304380.43500000006</v>
      </c>
      <c r="R26" s="32">
        <f t="shared" si="0"/>
        <v>-304380.43500000006</v>
      </c>
    </row>
    <row r="27" spans="1:18">
      <c r="K27" s="129"/>
      <c r="L27" s="129"/>
      <c r="M27" s="129"/>
      <c r="N27" s="129"/>
      <c r="O27" s="129"/>
      <c r="P27" s="129"/>
      <c r="Q27" s="129"/>
      <c r="R27" s="129"/>
    </row>
    <row r="28" spans="1:18">
      <c r="A28" s="35" t="s">
        <v>28</v>
      </c>
      <c r="B28" s="39" t="s">
        <v>29</v>
      </c>
      <c r="C28" s="17">
        <v>2820</v>
      </c>
      <c r="D28" s="17" t="s">
        <v>106</v>
      </c>
      <c r="E28" s="32">
        <v>-47497529</v>
      </c>
      <c r="F28" s="32">
        <v>-47497529</v>
      </c>
      <c r="G28" s="32">
        <v>-47497529</v>
      </c>
      <c r="H28" s="32">
        <v>-47497529</v>
      </c>
      <c r="I28" s="33">
        <v>-47776114.359999999</v>
      </c>
      <c r="J28" s="33">
        <v>-47776114.359999999</v>
      </c>
      <c r="K28" s="129">
        <v>-48400567.674999997</v>
      </c>
      <c r="L28" s="129">
        <v>-48722609</v>
      </c>
      <c r="M28" s="129">
        <v>-54048198.074999996</v>
      </c>
      <c r="N28" s="129">
        <v>-54048198.074999996</v>
      </c>
      <c r="O28" s="129">
        <v>-54048198.074999996</v>
      </c>
      <c r="P28" s="129">
        <v>-54014875.765000001</v>
      </c>
      <c r="Q28" s="129">
        <v>-56469105.835000001</v>
      </c>
      <c r="R28" s="129">
        <v>-56469105.835000001</v>
      </c>
    </row>
    <row r="29" spans="1:18">
      <c r="A29" s="35" t="s">
        <v>30</v>
      </c>
      <c r="B29" s="39" t="s">
        <v>31</v>
      </c>
      <c r="C29" s="17">
        <v>2820</v>
      </c>
      <c r="D29" s="108" t="s">
        <v>106</v>
      </c>
      <c r="E29" s="32">
        <v>-10382311.74</v>
      </c>
      <c r="F29" s="32">
        <v>-10382311.74</v>
      </c>
      <c r="G29" s="32">
        <v>-10382311.74</v>
      </c>
      <c r="H29" s="32">
        <v>-10382311.74</v>
      </c>
      <c r="I29" s="33">
        <v>-12826587.275</v>
      </c>
      <c r="J29" s="33">
        <v>-12826587.275</v>
      </c>
      <c r="K29" s="129">
        <v>-12359555.905000001</v>
      </c>
      <c r="L29" s="129">
        <v>-12342944.025</v>
      </c>
      <c r="M29" s="129">
        <v>-12432306.244999999</v>
      </c>
      <c r="N29" s="129">
        <v>-12432306.244999999</v>
      </c>
      <c r="O29" s="129">
        <v>-12432306.244999999</v>
      </c>
      <c r="P29" s="129">
        <v>-12433676.82</v>
      </c>
      <c r="Q29" s="129">
        <v>-13319198.574999999</v>
      </c>
      <c r="R29" s="129">
        <v>-13319198.574999999</v>
      </c>
    </row>
    <row r="30" spans="1:18">
      <c r="A30" s="35" t="s">
        <v>26</v>
      </c>
      <c r="B30" s="39" t="s">
        <v>27</v>
      </c>
      <c r="C30" s="17">
        <v>2820</v>
      </c>
      <c r="D30" s="108" t="s">
        <v>106</v>
      </c>
      <c r="E30" s="136">
        <v>-221658.86</v>
      </c>
      <c r="F30" s="136">
        <v>-221658.86</v>
      </c>
      <c r="G30" s="136">
        <v>-221658.86</v>
      </c>
      <c r="H30" s="136">
        <v>-221658.86</v>
      </c>
      <c r="I30" s="137">
        <v>-470358.70999999996</v>
      </c>
      <c r="J30" s="137">
        <v>-470358.70999999996</v>
      </c>
      <c r="K30" s="131">
        <v>-459529.16</v>
      </c>
      <c r="L30" s="131">
        <v>-74461.825000000012</v>
      </c>
      <c r="M30" s="131">
        <v>-154645.02499999999</v>
      </c>
      <c r="N30" s="131">
        <v>-154645.02499999999</v>
      </c>
      <c r="O30" s="131">
        <v>-154645.02499999999</v>
      </c>
      <c r="P30" s="131">
        <v>57066.29</v>
      </c>
      <c r="Q30" s="131">
        <v>1021559.08</v>
      </c>
      <c r="R30" s="131">
        <v>1021559.08</v>
      </c>
    </row>
    <row r="31" spans="1:18">
      <c r="A31" s="35" t="s">
        <v>193</v>
      </c>
      <c r="B31" s="39" t="s">
        <v>194</v>
      </c>
      <c r="C31" s="17">
        <v>2820</v>
      </c>
      <c r="D31" s="108" t="s">
        <v>106</v>
      </c>
      <c r="E31" s="26"/>
      <c r="F31" s="26"/>
      <c r="G31" s="26"/>
      <c r="H31" s="26"/>
      <c r="I31" s="27"/>
      <c r="J31" s="27"/>
      <c r="K31" s="133">
        <v>0</v>
      </c>
      <c r="L31" s="133">
        <v>-414017.67499999999</v>
      </c>
      <c r="M31" s="133">
        <v>-731715.86499999999</v>
      </c>
      <c r="N31" s="133">
        <v>-731715.86499999999</v>
      </c>
      <c r="O31" s="133">
        <v>-731715.86499999999</v>
      </c>
      <c r="P31" s="133">
        <v>-748916.49</v>
      </c>
      <c r="Q31" s="133">
        <v>-716683.34</v>
      </c>
      <c r="R31" s="133">
        <v>-716683.34</v>
      </c>
    </row>
    <row r="32" spans="1:18">
      <c r="A32" s="25" t="s">
        <v>90</v>
      </c>
      <c r="B32" s="39"/>
      <c r="E32" s="32">
        <f>SUM(E28:E31)</f>
        <v>-58101499.600000001</v>
      </c>
      <c r="F32" s="32">
        <f t="shared" ref="F32:Q32" si="1">SUM(F28:F31)</f>
        <v>-58101499.600000001</v>
      </c>
      <c r="G32" s="32">
        <f t="shared" si="1"/>
        <v>-58101499.600000001</v>
      </c>
      <c r="H32" s="32">
        <f t="shared" si="1"/>
        <v>-58101499.600000001</v>
      </c>
      <c r="I32" s="32">
        <f t="shared" si="1"/>
        <v>-61073060.344999999</v>
      </c>
      <c r="J32" s="32">
        <f t="shared" si="1"/>
        <v>-61073060.344999999</v>
      </c>
      <c r="K32" s="32">
        <f t="shared" si="1"/>
        <v>-61219652.739999995</v>
      </c>
      <c r="L32" s="32">
        <f t="shared" si="1"/>
        <v>-61554032.524999999</v>
      </c>
      <c r="M32" s="32">
        <f t="shared" si="1"/>
        <v>-67366865.209999993</v>
      </c>
      <c r="N32" s="32">
        <f t="shared" si="1"/>
        <v>-67366865.209999993</v>
      </c>
      <c r="O32" s="32">
        <f t="shared" si="1"/>
        <v>-67366865.209999993</v>
      </c>
      <c r="P32" s="32">
        <f t="shared" si="1"/>
        <v>-67140402.784999996</v>
      </c>
      <c r="Q32" s="32">
        <f t="shared" si="1"/>
        <v>-69483428.670000002</v>
      </c>
      <c r="R32" s="32">
        <f>SUM(R28:R31)</f>
        <v>-69483428.670000002</v>
      </c>
    </row>
    <row r="33" spans="1:18">
      <c r="A33" s="35"/>
      <c r="B33" s="39"/>
      <c r="E33" s="32"/>
      <c r="F33" s="32"/>
      <c r="G33" s="32"/>
      <c r="H33" s="32"/>
      <c r="I33" s="58"/>
      <c r="J33" s="58"/>
      <c r="K33" s="129"/>
      <c r="L33" s="129"/>
      <c r="M33" s="129"/>
      <c r="N33" s="129"/>
      <c r="O33" s="129"/>
      <c r="P33" s="129"/>
      <c r="Q33" s="129"/>
      <c r="R33" s="129"/>
    </row>
    <row r="34" spans="1:18">
      <c r="A34" s="25" t="s">
        <v>100</v>
      </c>
      <c r="B34" s="39"/>
      <c r="E34" s="32"/>
      <c r="F34" s="32"/>
      <c r="G34" s="32"/>
      <c r="H34" s="32"/>
      <c r="I34" s="58"/>
      <c r="J34" s="58"/>
      <c r="K34" s="129"/>
      <c r="L34" s="129"/>
      <c r="M34" s="129"/>
      <c r="N34" s="129"/>
      <c r="O34" s="129"/>
      <c r="P34" s="129"/>
      <c r="Q34" s="129"/>
      <c r="R34" s="129"/>
    </row>
    <row r="35" spans="1:18">
      <c r="A35" s="78" t="s">
        <v>67</v>
      </c>
      <c r="B35" s="82" t="s">
        <v>168</v>
      </c>
      <c r="C35">
        <v>1900</v>
      </c>
      <c r="D35" s="105" t="s">
        <v>105</v>
      </c>
      <c r="F35" s="32"/>
      <c r="G35" s="32"/>
      <c r="H35" s="32"/>
      <c r="I35" s="83"/>
      <c r="J35" s="83"/>
      <c r="K35" s="129"/>
      <c r="L35" s="129"/>
      <c r="M35" s="129"/>
      <c r="N35" s="129"/>
      <c r="O35" s="129"/>
      <c r="P35" s="129">
        <v>1119352</v>
      </c>
      <c r="Q35" s="129">
        <v>1368432</v>
      </c>
      <c r="R35" s="129">
        <v>1368432</v>
      </c>
    </row>
    <row r="36" spans="1:18">
      <c r="A36" s="36" t="s">
        <v>69</v>
      </c>
      <c r="B36" s="40" t="s">
        <v>169</v>
      </c>
      <c r="C36">
        <v>2820</v>
      </c>
      <c r="D36" t="s">
        <v>106</v>
      </c>
      <c r="E36" s="32">
        <v>0</v>
      </c>
      <c r="F36" s="32">
        <v>0</v>
      </c>
      <c r="G36" s="32">
        <v>0</v>
      </c>
      <c r="H36" s="32">
        <v>0</v>
      </c>
      <c r="I36" s="33">
        <v>594432</v>
      </c>
      <c r="J36" s="33">
        <v>594432</v>
      </c>
      <c r="K36" s="129">
        <v>594432</v>
      </c>
      <c r="L36" s="129">
        <v>0</v>
      </c>
      <c r="M36" s="129">
        <v>0</v>
      </c>
      <c r="N36" s="129">
        <v>0</v>
      </c>
      <c r="O36" s="129">
        <v>0</v>
      </c>
      <c r="P36" s="129">
        <v>0</v>
      </c>
      <c r="Q36" s="129">
        <v>0</v>
      </c>
      <c r="R36" s="129">
        <v>0</v>
      </c>
    </row>
    <row r="37" spans="1:18">
      <c r="A37" s="36" t="s">
        <v>72</v>
      </c>
      <c r="B37" s="40" t="s">
        <v>170</v>
      </c>
      <c r="C37">
        <v>2820</v>
      </c>
      <c r="D37" t="s">
        <v>106</v>
      </c>
      <c r="E37" s="136">
        <v>0</v>
      </c>
      <c r="F37" s="136">
        <v>0</v>
      </c>
      <c r="G37" s="136">
        <v>0</v>
      </c>
      <c r="H37" s="136">
        <v>0</v>
      </c>
      <c r="I37" s="137">
        <v>-208051</v>
      </c>
      <c r="J37" s="137">
        <v>-208051</v>
      </c>
      <c r="K37" s="131">
        <v>-208051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</row>
    <row r="38" spans="1:18">
      <c r="A38" s="78" t="s">
        <v>74</v>
      </c>
      <c r="B38" s="82" t="s">
        <v>171</v>
      </c>
      <c r="C38">
        <v>1900</v>
      </c>
      <c r="D38" s="105" t="s">
        <v>105</v>
      </c>
      <c r="E38" s="26">
        <v>0</v>
      </c>
      <c r="F38" s="26"/>
      <c r="G38" s="26"/>
      <c r="H38" s="26"/>
      <c r="I38" s="27"/>
      <c r="J38" s="27"/>
      <c r="K38" s="133"/>
      <c r="L38" s="133"/>
      <c r="M38" s="133"/>
      <c r="N38" s="133"/>
      <c r="O38" s="133"/>
      <c r="P38" s="133">
        <v>-391773</v>
      </c>
      <c r="Q38" s="133">
        <v>-486350</v>
      </c>
      <c r="R38" s="133">
        <v>-486350</v>
      </c>
    </row>
    <row r="39" spans="1:18" ht="15.75">
      <c r="A39" s="29" t="s">
        <v>92</v>
      </c>
      <c r="B39" s="30"/>
      <c r="C39" s="30"/>
      <c r="E39" s="32">
        <f>SUM(E35:E38)</f>
        <v>0</v>
      </c>
      <c r="F39" s="32">
        <f t="shared" ref="F39:R39" si="2">SUM(F35:F38)</f>
        <v>0</v>
      </c>
      <c r="G39" s="32">
        <f t="shared" si="2"/>
        <v>0</v>
      </c>
      <c r="H39" s="32">
        <f t="shared" si="2"/>
        <v>0</v>
      </c>
      <c r="I39" s="32">
        <f t="shared" si="2"/>
        <v>386381</v>
      </c>
      <c r="J39" s="32">
        <f t="shared" si="2"/>
        <v>386381</v>
      </c>
      <c r="K39" s="32">
        <f t="shared" si="2"/>
        <v>386381</v>
      </c>
      <c r="L39" s="32">
        <f t="shared" si="2"/>
        <v>0</v>
      </c>
      <c r="M39" s="32">
        <f t="shared" si="2"/>
        <v>0</v>
      </c>
      <c r="N39" s="32">
        <f t="shared" si="2"/>
        <v>0</v>
      </c>
      <c r="O39" s="32">
        <f t="shared" si="2"/>
        <v>0</v>
      </c>
      <c r="P39" s="32">
        <f t="shared" si="2"/>
        <v>727579</v>
      </c>
      <c r="Q39" s="32">
        <f t="shared" si="2"/>
        <v>882082</v>
      </c>
      <c r="R39" s="32">
        <f t="shared" si="2"/>
        <v>882082</v>
      </c>
    </row>
    <row r="40" spans="1:18" ht="15.75">
      <c r="A40" s="30"/>
      <c r="B40" s="30"/>
      <c r="C40" s="30"/>
      <c r="E40" s="32"/>
      <c r="F40" s="32"/>
      <c r="G40" s="32"/>
      <c r="H40" s="32"/>
      <c r="I40" s="58"/>
      <c r="J40" s="58"/>
      <c r="K40" s="129"/>
      <c r="L40" s="129"/>
      <c r="M40" s="129"/>
      <c r="N40" s="129"/>
      <c r="O40" s="129"/>
      <c r="P40" s="129"/>
      <c r="Q40" s="129"/>
      <c r="R40" s="129"/>
    </row>
    <row r="41" spans="1:18" ht="15.75">
      <c r="A41" s="29" t="s">
        <v>93</v>
      </c>
      <c r="B41" s="30"/>
      <c r="C41" s="30"/>
      <c r="E41" s="32">
        <f t="shared" ref="E41:R41" si="3">E39+E32+E26</f>
        <v>-57096789.760000005</v>
      </c>
      <c r="F41" s="32">
        <f t="shared" si="3"/>
        <v>-57096789.760000005</v>
      </c>
      <c r="G41" s="32">
        <f t="shared" si="3"/>
        <v>-57096789.760000005</v>
      </c>
      <c r="H41" s="32">
        <f t="shared" si="3"/>
        <v>-57096789.760000005</v>
      </c>
      <c r="I41" s="32">
        <f t="shared" si="3"/>
        <v>-61678924.18</v>
      </c>
      <c r="J41" s="32">
        <f t="shared" si="3"/>
        <v>-61678924.18</v>
      </c>
      <c r="K41" s="32">
        <f t="shared" si="3"/>
        <v>-61825516.574999996</v>
      </c>
      <c r="L41" s="32">
        <f t="shared" si="3"/>
        <v>-62921631.68</v>
      </c>
      <c r="M41" s="32">
        <f t="shared" si="3"/>
        <v>-67037360.364999995</v>
      </c>
      <c r="N41" s="32">
        <f t="shared" si="3"/>
        <v>-67037360.364999995</v>
      </c>
      <c r="O41" s="32">
        <f t="shared" si="3"/>
        <v>-67037360.364999995</v>
      </c>
      <c r="P41" s="32">
        <f t="shared" si="3"/>
        <v>-66446166.899999999</v>
      </c>
      <c r="Q41" s="32">
        <f t="shared" si="3"/>
        <v>-68905727.105000004</v>
      </c>
      <c r="R41" s="32">
        <f t="shared" si="3"/>
        <v>-68905727.105000004</v>
      </c>
    </row>
    <row r="42" spans="1:18" ht="15.75">
      <c r="A42" s="30"/>
      <c r="B42" s="30"/>
      <c r="C42" s="30"/>
      <c r="E42" s="32"/>
      <c r="F42" s="32"/>
      <c r="G42" s="32"/>
      <c r="H42" s="32"/>
      <c r="I42" s="58"/>
      <c r="J42" s="58"/>
      <c r="K42" s="129"/>
      <c r="L42" s="129"/>
      <c r="M42" s="129"/>
      <c r="N42" s="129"/>
      <c r="O42" s="129"/>
      <c r="P42" s="129"/>
      <c r="Q42" s="129"/>
      <c r="R42" s="129"/>
    </row>
    <row r="43" spans="1:18" ht="15.75">
      <c r="A43" s="29" t="s">
        <v>96</v>
      </c>
      <c r="B43" s="30"/>
      <c r="C43" s="28">
        <v>1900</v>
      </c>
      <c r="E43" s="101">
        <f t="shared" ref="E43:R45" ca="1" si="4">SUMIF($C$10:$J$41,$C43,E$10:E$41)</f>
        <v>3175977.88</v>
      </c>
      <c r="F43" s="101">
        <f t="shared" ca="1" si="4"/>
        <v>3175977.88</v>
      </c>
      <c r="G43" s="101">
        <f t="shared" ca="1" si="4"/>
        <v>3175977.88</v>
      </c>
      <c r="H43" s="101">
        <f t="shared" ca="1" si="4"/>
        <v>3175977.88</v>
      </c>
      <c r="I43" s="101">
        <f t="shared" ca="1" si="4"/>
        <v>359029.32999999984</v>
      </c>
      <c r="J43" s="101">
        <f t="shared" ca="1" si="4"/>
        <v>359029.32999999984</v>
      </c>
      <c r="K43" s="101">
        <f t="shared" ca="1" si="4"/>
        <v>359029.32999999984</v>
      </c>
      <c r="L43" s="101">
        <f t="shared" ca="1" si="4"/>
        <v>-76241.930000000168</v>
      </c>
      <c r="M43" s="101">
        <f t="shared" ca="1" si="4"/>
        <v>1543202.1149999998</v>
      </c>
      <c r="N43" s="101">
        <f t="shared" ca="1" si="4"/>
        <v>1543202.1149999998</v>
      </c>
      <c r="O43" s="101">
        <f t="shared" ca="1" si="4"/>
        <v>1543202.1149999998</v>
      </c>
      <c r="P43" s="101">
        <f t="shared" ca="1" si="4"/>
        <v>2258633.1849999996</v>
      </c>
      <c r="Q43" s="101">
        <f t="shared" ca="1" si="4"/>
        <v>1904270.3399999999</v>
      </c>
      <c r="R43" s="101">
        <f t="shared" ca="1" si="4"/>
        <v>1904270.3399999999</v>
      </c>
    </row>
    <row r="44" spans="1:18" ht="15.75">
      <c r="A44" s="29" t="s">
        <v>97</v>
      </c>
      <c r="B44" s="30"/>
      <c r="C44" s="28">
        <v>2820</v>
      </c>
      <c r="E44" s="102">
        <f t="shared" ca="1" si="4"/>
        <v>-58101499.600000001</v>
      </c>
      <c r="F44" s="102">
        <f t="shared" ca="1" si="4"/>
        <v>-58101499.600000001</v>
      </c>
      <c r="G44" s="102">
        <f t="shared" ca="1" si="4"/>
        <v>-58101499.600000001</v>
      </c>
      <c r="H44" s="102">
        <f t="shared" ca="1" si="4"/>
        <v>-58101499.600000001</v>
      </c>
      <c r="I44" s="102">
        <f t="shared" ca="1" si="4"/>
        <v>-60686679.344999999</v>
      </c>
      <c r="J44" s="102">
        <f t="shared" ca="1" si="4"/>
        <v>-60686679.344999999</v>
      </c>
      <c r="K44" s="102">
        <f t="shared" ca="1" si="4"/>
        <v>-60833271.739999995</v>
      </c>
      <c r="L44" s="102">
        <f t="shared" ca="1" si="4"/>
        <v>-61554032.524999999</v>
      </c>
      <c r="M44" s="102">
        <f t="shared" ca="1" si="4"/>
        <v>-67366865.209999993</v>
      </c>
      <c r="N44" s="102">
        <f t="shared" ca="1" si="4"/>
        <v>-67366865.209999993</v>
      </c>
      <c r="O44" s="102">
        <f t="shared" ca="1" si="4"/>
        <v>-67366865.209999993</v>
      </c>
      <c r="P44" s="102">
        <f t="shared" ca="1" si="4"/>
        <v>-67140402.784999996</v>
      </c>
      <c r="Q44" s="102">
        <f t="shared" ca="1" si="4"/>
        <v>-69492386.86500001</v>
      </c>
      <c r="R44" s="102">
        <f t="shared" ca="1" si="4"/>
        <v>-69492386.86500001</v>
      </c>
    </row>
    <row r="45" spans="1:18" ht="15.75">
      <c r="A45" s="29" t="s">
        <v>98</v>
      </c>
      <c r="B45" s="30"/>
      <c r="C45" s="28">
        <v>2830</v>
      </c>
      <c r="E45" s="113">
        <f t="shared" ca="1" si="4"/>
        <v>-2171268.04</v>
      </c>
      <c r="F45" s="113">
        <f t="shared" ca="1" si="4"/>
        <v>-2171268.04</v>
      </c>
      <c r="G45" s="113">
        <f t="shared" ca="1" si="4"/>
        <v>-2171268.04</v>
      </c>
      <c r="H45" s="113">
        <f t="shared" ca="1" si="4"/>
        <v>-2171268.04</v>
      </c>
      <c r="I45" s="113">
        <f t="shared" ca="1" si="4"/>
        <v>-1351274.165</v>
      </c>
      <c r="J45" s="113">
        <f t="shared" ca="1" si="4"/>
        <v>-1351274.165</v>
      </c>
      <c r="K45" s="113">
        <f t="shared" ca="1" si="4"/>
        <v>-1351274.165</v>
      </c>
      <c r="L45" s="113">
        <f t="shared" ca="1" si="4"/>
        <v>-1291357.2250000001</v>
      </c>
      <c r="M45" s="113">
        <f t="shared" ca="1" si="4"/>
        <v>-1213697.2699999998</v>
      </c>
      <c r="N45" s="113">
        <f t="shared" ca="1" si="4"/>
        <v>-1213697.2699999998</v>
      </c>
      <c r="O45" s="113">
        <f t="shared" ca="1" si="4"/>
        <v>-1213697.2699999998</v>
      </c>
      <c r="P45" s="113">
        <f t="shared" ca="1" si="4"/>
        <v>-1564397.2999999998</v>
      </c>
      <c r="Q45" s="113">
        <f t="shared" ca="1" si="4"/>
        <v>-1317610.5799999998</v>
      </c>
      <c r="R45" s="113">
        <f t="shared" ca="1" si="4"/>
        <v>-1317610.5799999998</v>
      </c>
    </row>
    <row r="46" spans="1:18" ht="15.75">
      <c r="A46" s="29" t="s">
        <v>99</v>
      </c>
      <c r="B46" s="30"/>
      <c r="C46" s="28"/>
      <c r="E46" s="32">
        <f ca="1">SUM(E43:E45)</f>
        <v>-57096789.759999998</v>
      </c>
      <c r="F46" s="32">
        <f t="shared" ref="F46:R46" ca="1" si="5">SUM(F43:F45)</f>
        <v>-57096789.759999998</v>
      </c>
      <c r="G46" s="32">
        <f t="shared" ca="1" si="5"/>
        <v>-57096789.759999998</v>
      </c>
      <c r="H46" s="32">
        <f t="shared" ca="1" si="5"/>
        <v>-57096789.759999998</v>
      </c>
      <c r="I46" s="32">
        <f t="shared" ca="1" si="5"/>
        <v>-61678924.18</v>
      </c>
      <c r="J46" s="32">
        <f t="shared" ca="1" si="5"/>
        <v>-61678924.18</v>
      </c>
      <c r="K46" s="32">
        <f t="shared" ca="1" si="5"/>
        <v>-61825516.574999996</v>
      </c>
      <c r="L46" s="32">
        <f t="shared" ca="1" si="5"/>
        <v>-62921631.68</v>
      </c>
      <c r="M46" s="32">
        <f t="shared" ca="1" si="5"/>
        <v>-67037360.364999995</v>
      </c>
      <c r="N46" s="32">
        <f t="shared" ca="1" si="5"/>
        <v>-67037360.364999995</v>
      </c>
      <c r="O46" s="32">
        <f t="shared" ca="1" si="5"/>
        <v>-67037360.364999995</v>
      </c>
      <c r="P46" s="32">
        <f t="shared" ca="1" si="5"/>
        <v>-66446166.899999991</v>
      </c>
      <c r="Q46" s="32">
        <f t="shared" ca="1" si="5"/>
        <v>-68905727.105000004</v>
      </c>
      <c r="R46" s="32">
        <f t="shared" ca="1" si="5"/>
        <v>-68905727.105000004</v>
      </c>
    </row>
    <row r="47" spans="1:18">
      <c r="A47" s="35" t="s">
        <v>102</v>
      </c>
      <c r="B47" s="34"/>
      <c r="C47" s="34"/>
      <c r="E47" s="32"/>
      <c r="F47" s="32"/>
      <c r="G47" s="32"/>
      <c r="H47" s="32"/>
      <c r="I47" s="31"/>
      <c r="J47" s="31"/>
      <c r="K47" s="129"/>
      <c r="L47" s="129"/>
      <c r="M47" s="129"/>
      <c r="N47" s="129"/>
      <c r="O47" s="129"/>
      <c r="P47" s="129"/>
      <c r="Q47" s="129"/>
      <c r="R47" s="129"/>
    </row>
    <row r="48" spans="1:18">
      <c r="A48" s="38" t="s">
        <v>83</v>
      </c>
      <c r="B48" s="38"/>
      <c r="C48" s="38"/>
      <c r="D48" t="s">
        <v>105</v>
      </c>
      <c r="E48" s="32">
        <v>2911599.18</v>
      </c>
      <c r="F48" s="32">
        <v>2911599.18</v>
      </c>
      <c r="G48" s="32">
        <v>2911599.18</v>
      </c>
      <c r="H48" s="32">
        <v>2911599.18</v>
      </c>
      <c r="I48" s="32">
        <v>336405.56</v>
      </c>
      <c r="J48" s="33">
        <v>336405.56</v>
      </c>
      <c r="K48" s="129">
        <v>336405.56</v>
      </c>
      <c r="L48" s="129">
        <v>-71437.64</v>
      </c>
      <c r="M48" s="129">
        <v>1445959.24</v>
      </c>
      <c r="N48" s="129">
        <v>1445959.24</v>
      </c>
      <c r="O48" s="129">
        <v>1445959.24</v>
      </c>
      <c r="P48" s="129">
        <v>1042803.8</v>
      </c>
      <c r="Q48" s="129">
        <v>471426.47</v>
      </c>
      <c r="R48" s="129">
        <v>471426.47</v>
      </c>
    </row>
    <row r="49" spans="1:18">
      <c r="A49" s="38" t="s">
        <v>84</v>
      </c>
      <c r="B49" s="38"/>
      <c r="C49" s="38"/>
      <c r="D49" t="s">
        <v>105</v>
      </c>
      <c r="E49" s="32">
        <v>264378.7</v>
      </c>
      <c r="F49" s="32">
        <v>264378.7</v>
      </c>
      <c r="G49" s="32">
        <v>264378.7</v>
      </c>
      <c r="H49" s="32">
        <v>264378.7</v>
      </c>
      <c r="I49" s="32">
        <v>22623.759999999998</v>
      </c>
      <c r="J49" s="33">
        <v>22623.759999999998</v>
      </c>
      <c r="K49" s="129">
        <v>22623.759999999998</v>
      </c>
      <c r="L49" s="129">
        <v>-4804.29</v>
      </c>
      <c r="M49" s="129">
        <v>97242.87</v>
      </c>
      <c r="N49" s="129">
        <v>97242.87</v>
      </c>
      <c r="O49" s="129">
        <v>97242.87</v>
      </c>
      <c r="P49" s="129">
        <v>1215829.3899999999</v>
      </c>
      <c r="Q49" s="129">
        <v>1432843.87</v>
      </c>
      <c r="R49" s="129">
        <v>1432843.87</v>
      </c>
    </row>
    <row r="50" spans="1:18">
      <c r="A50" s="38" t="s">
        <v>85</v>
      </c>
      <c r="B50" s="38"/>
      <c r="C50" s="38"/>
      <c r="D50" t="s">
        <v>106</v>
      </c>
      <c r="E50" s="32">
        <v>-53264942.340000004</v>
      </c>
      <c r="F50" s="32">
        <v>-53264942.340000004</v>
      </c>
      <c r="G50" s="32">
        <v>-53264942.340000004</v>
      </c>
      <c r="H50" s="32">
        <v>-53264942.340000004</v>
      </c>
      <c r="I50" s="32">
        <v>-57432672.270000003</v>
      </c>
      <c r="J50" s="33">
        <v>-57432672.270000003</v>
      </c>
      <c r="K50" s="129">
        <v>-57570027.270000003</v>
      </c>
      <c r="L50" s="129">
        <v>-57675285.270000003</v>
      </c>
      <c r="M50" s="129">
        <v>-63121829.869999997</v>
      </c>
      <c r="N50" s="129">
        <v>-63121829.869999997</v>
      </c>
      <c r="O50" s="129">
        <v>-63121829.869999997</v>
      </c>
      <c r="P50" s="129">
        <v>-62909637.68</v>
      </c>
      <c r="Q50" s="129">
        <v>-65105020.840000004</v>
      </c>
      <c r="R50" s="129">
        <v>-65105020.840000004</v>
      </c>
    </row>
    <row r="51" spans="1:18">
      <c r="A51" s="38" t="s">
        <v>86</v>
      </c>
      <c r="B51" s="38"/>
      <c r="C51" s="38"/>
      <c r="D51" t="s">
        <v>106</v>
      </c>
      <c r="E51" s="32">
        <v>-4836557.26</v>
      </c>
      <c r="F51" s="32">
        <v>-4836557.26</v>
      </c>
      <c r="G51" s="32">
        <v>-4836557.26</v>
      </c>
      <c r="H51" s="32">
        <v>-4836557.26</v>
      </c>
      <c r="I51" s="32">
        <v>-3254007.44</v>
      </c>
      <c r="J51" s="33">
        <v>-3254007.44</v>
      </c>
      <c r="K51" s="129">
        <v>-3263244.44</v>
      </c>
      <c r="L51" s="129">
        <v>-3878747.26</v>
      </c>
      <c r="M51" s="129">
        <v>-4245035.34</v>
      </c>
      <c r="N51" s="129">
        <v>-4245035.34</v>
      </c>
      <c r="O51" s="129">
        <v>-4245035.34</v>
      </c>
      <c r="P51" s="129">
        <v>-4230765.1100000003</v>
      </c>
      <c r="Q51" s="129">
        <v>-4378407.83</v>
      </c>
      <c r="R51" s="129">
        <v>-4378407.83</v>
      </c>
    </row>
    <row r="52" spans="1:18">
      <c r="A52" s="38" t="s">
        <v>87</v>
      </c>
      <c r="B52" s="38"/>
      <c r="C52" s="38"/>
      <c r="D52" t="s">
        <v>109</v>
      </c>
      <c r="E52" s="32">
        <v>-1990524.65</v>
      </c>
      <c r="F52" s="32">
        <v>-1990524.65</v>
      </c>
      <c r="G52" s="32">
        <v>-1990524.65</v>
      </c>
      <c r="H52" s="32">
        <v>-1990524.65</v>
      </c>
      <c r="I52" s="32">
        <v>-1266125.3899999999</v>
      </c>
      <c r="J52" s="33">
        <v>-1266125.3899999999</v>
      </c>
      <c r="K52" s="129">
        <v>-1266125.3899999999</v>
      </c>
      <c r="L52" s="129">
        <v>-1209984.03</v>
      </c>
      <c r="M52" s="129">
        <v>-1137217.72</v>
      </c>
      <c r="N52" s="129">
        <v>-1137217.72</v>
      </c>
      <c r="O52" s="129">
        <v>-1137217.72</v>
      </c>
      <c r="P52" s="129">
        <v>-1465818.84</v>
      </c>
      <c r="Q52" s="129">
        <v>-1242976.77</v>
      </c>
      <c r="R52" s="129">
        <v>-1242976.77</v>
      </c>
    </row>
    <row r="53" spans="1:18">
      <c r="A53" s="38" t="s">
        <v>88</v>
      </c>
      <c r="B53" s="38"/>
      <c r="C53" s="38"/>
      <c r="D53" t="s">
        <v>109</v>
      </c>
      <c r="E53" s="32">
        <v>-180743.39</v>
      </c>
      <c r="F53" s="32">
        <v>-180743.39</v>
      </c>
      <c r="G53" s="32">
        <v>-180743.39</v>
      </c>
      <c r="H53" s="32">
        <v>-180743.39</v>
      </c>
      <c r="I53" s="32">
        <v>-85148.77</v>
      </c>
      <c r="J53" s="33">
        <v>-85148.77</v>
      </c>
      <c r="K53" s="129">
        <v>-85148.77</v>
      </c>
      <c r="L53" s="129">
        <v>-81373.19</v>
      </c>
      <c r="M53" s="129">
        <v>-76479.55</v>
      </c>
      <c r="N53" s="129">
        <v>-76479.55</v>
      </c>
      <c r="O53" s="129">
        <v>-76479.55</v>
      </c>
      <c r="P53" s="129">
        <v>-98578.46</v>
      </c>
      <c r="Q53" s="129">
        <v>-83592</v>
      </c>
      <c r="R53" s="129">
        <v>-83592</v>
      </c>
    </row>
    <row r="54" spans="1:18">
      <c r="A54" s="37" t="s">
        <v>89</v>
      </c>
      <c r="B54" s="37"/>
      <c r="C54" s="37"/>
      <c r="E54" s="41">
        <f>SUM(E48:E53)</f>
        <v>-57096789.759999998</v>
      </c>
      <c r="F54" s="41">
        <f t="shared" ref="F54:R54" si="6">SUM(F48:F53)</f>
        <v>-57096789.759999998</v>
      </c>
      <c r="G54" s="41">
        <f t="shared" si="6"/>
        <v>-57096789.759999998</v>
      </c>
      <c r="H54" s="41">
        <f t="shared" si="6"/>
        <v>-57096789.759999998</v>
      </c>
      <c r="I54" s="41">
        <f t="shared" si="6"/>
        <v>-61678924.550000004</v>
      </c>
      <c r="J54" s="41">
        <f t="shared" si="6"/>
        <v>-61678924.550000004</v>
      </c>
      <c r="K54" s="41">
        <f t="shared" si="6"/>
        <v>-61825516.550000004</v>
      </c>
      <c r="L54" s="41">
        <f t="shared" si="6"/>
        <v>-62921631.68</v>
      </c>
      <c r="M54" s="41">
        <f t="shared" si="6"/>
        <v>-67037360.36999999</v>
      </c>
      <c r="N54" s="41">
        <f t="shared" si="6"/>
        <v>-67037360.36999999</v>
      </c>
      <c r="O54" s="41">
        <f t="shared" si="6"/>
        <v>-67037360.36999999</v>
      </c>
      <c r="P54" s="41">
        <f t="shared" si="6"/>
        <v>-66446166.900000006</v>
      </c>
      <c r="Q54" s="41">
        <f t="shared" si="6"/>
        <v>-68905727.099999994</v>
      </c>
      <c r="R54" s="41">
        <f t="shared" si="6"/>
        <v>-68905727.099999994</v>
      </c>
    </row>
    <row r="56" spans="1:18" ht="15.75">
      <c r="A56" s="76"/>
      <c r="B56" s="71"/>
      <c r="C56" s="71"/>
      <c r="D56" s="71"/>
      <c r="E56" s="74"/>
      <c r="F56" s="74"/>
      <c r="G56" s="74"/>
      <c r="H56" s="74"/>
      <c r="I56" s="74">
        <f ca="1">I54-I46</f>
        <v>-0.37000000476837158</v>
      </c>
      <c r="J56" s="74">
        <f t="shared" ref="J56:R56" ca="1" si="7">J54-J46</f>
        <v>-0.37000000476837158</v>
      </c>
      <c r="K56" s="74">
        <f t="shared" ca="1" si="7"/>
        <v>2.4999991059303284E-2</v>
      </c>
      <c r="L56" s="74">
        <f t="shared" ca="1" si="7"/>
        <v>0</v>
      </c>
      <c r="M56" s="74">
        <f t="shared" ca="1" si="7"/>
        <v>-4.999995231628418E-3</v>
      </c>
      <c r="N56" s="74">
        <f t="shared" ca="1" si="7"/>
        <v>-4.999995231628418E-3</v>
      </c>
      <c r="O56" s="74">
        <f t="shared" ca="1" si="7"/>
        <v>-4.999995231628418E-3</v>
      </c>
      <c r="P56" s="74">
        <f t="shared" ca="1" si="7"/>
        <v>0</v>
      </c>
      <c r="Q56" s="74">
        <f t="shared" ca="1" si="7"/>
        <v>5.0000101327896118E-3</v>
      </c>
      <c r="R56" s="74">
        <f t="shared" ca="1" si="7"/>
        <v>5.0000101327896118E-3</v>
      </c>
    </row>
    <row r="57" spans="1:18" ht="15.75">
      <c r="A57" s="71"/>
      <c r="B57" s="71"/>
      <c r="C57" s="71"/>
      <c r="D57" s="71"/>
    </row>
    <row r="58" spans="1:18" ht="15.75">
      <c r="A58" s="76"/>
      <c r="B58" s="71"/>
      <c r="C58" s="71"/>
      <c r="D58" s="71"/>
      <c r="E58" s="62"/>
      <c r="F58" s="62"/>
      <c r="G58" s="62"/>
      <c r="H58" s="62"/>
      <c r="I58" s="62"/>
      <c r="J58" s="62"/>
    </row>
    <row r="59" spans="1:18">
      <c r="E59" s="62"/>
      <c r="F59" s="62"/>
      <c r="G59" s="62"/>
      <c r="H59" s="62"/>
      <c r="I59" s="62"/>
      <c r="J59" s="62"/>
    </row>
    <row r="60" spans="1:18">
      <c r="E60" s="62"/>
      <c r="F60" s="62"/>
      <c r="G60" s="62"/>
      <c r="H60" s="62"/>
      <c r="I60" s="62"/>
      <c r="J60" s="62"/>
    </row>
  </sheetData>
  <printOptions horizontalCentered="1"/>
  <pageMargins left="0.7" right="0.7" top="0.75" bottom="0.5" header="0.25" footer="0.25"/>
  <pageSetup scale="42" orientation="landscape" r:id="rId1"/>
  <headerFooter>
    <oddHeader>&amp;R&amp;12CASE NO. 2015-00343
ATTACHMENT 1
TO STAFF DR  NO. 1-47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zoomScale="80" zoomScaleNormal="80" workbookViewId="0"/>
  </sheetViews>
  <sheetFormatPr defaultRowHeight="15"/>
  <cols>
    <col min="1" max="1" width="45.85546875" bestFit="1" customWidth="1"/>
    <col min="2" max="3" width="8.85546875" bestFit="1" customWidth="1"/>
    <col min="4" max="4" width="5" bestFit="1" customWidth="1"/>
    <col min="5" max="8" width="12.28515625" bestFit="1" customWidth="1"/>
    <col min="9" max="9" width="12.5703125" style="84" customWidth="1"/>
    <col min="10" max="10" width="12.42578125" customWidth="1"/>
    <col min="11" max="11" width="15.85546875" bestFit="1" customWidth="1"/>
    <col min="12" max="12" width="15.140625" bestFit="1" customWidth="1"/>
    <col min="13" max="15" width="14.85546875" bestFit="1" customWidth="1"/>
    <col min="16" max="16" width="15.85546875" bestFit="1" customWidth="1"/>
    <col min="17" max="17" width="14.85546875" bestFit="1" customWidth="1"/>
    <col min="18" max="18" width="15.85546875" bestFit="1" customWidth="1"/>
  </cols>
  <sheetData>
    <row r="1" spans="1:18" ht="15.75">
      <c r="A1" s="15" t="s">
        <v>184</v>
      </c>
      <c r="B1" s="12"/>
      <c r="C1" s="16"/>
      <c r="D1" s="13"/>
    </row>
    <row r="2" spans="1:18" ht="15.75">
      <c r="A2" s="12"/>
      <c r="B2" s="12"/>
      <c r="C2" s="16"/>
      <c r="D2" s="13"/>
    </row>
    <row r="3" spans="1:18" ht="15.75">
      <c r="A3" s="13" t="s">
        <v>0</v>
      </c>
      <c r="B3" s="12"/>
      <c r="C3" s="12"/>
      <c r="D3" s="12"/>
    </row>
    <row r="4" spans="1:18" ht="15.75">
      <c r="A4" s="13" t="s">
        <v>95</v>
      </c>
      <c r="B4" s="12"/>
      <c r="C4" s="12"/>
      <c r="D4" s="12"/>
    </row>
    <row r="5" spans="1:18" ht="15.75">
      <c r="A5" s="76" t="s">
        <v>189</v>
      </c>
      <c r="B5" s="12"/>
      <c r="C5" s="12"/>
      <c r="D5" s="12"/>
    </row>
    <row r="6" spans="1:18">
      <c r="A6" s="14"/>
      <c r="B6" s="18"/>
      <c r="C6" s="14"/>
      <c r="D6" s="18"/>
    </row>
    <row r="7" spans="1:18" ht="15.75">
      <c r="A7" s="15" t="s">
        <v>2</v>
      </c>
      <c r="B7" s="12"/>
      <c r="C7" s="12"/>
      <c r="D7" s="12"/>
      <c r="E7" s="23" t="s">
        <v>94</v>
      </c>
      <c r="F7" s="23" t="s">
        <v>8</v>
      </c>
      <c r="G7" s="23" t="s">
        <v>8</v>
      </c>
      <c r="H7" s="23" t="s">
        <v>8</v>
      </c>
      <c r="I7" s="23" t="s">
        <v>8</v>
      </c>
      <c r="J7" s="24" t="s">
        <v>9</v>
      </c>
      <c r="K7" s="24" t="s">
        <v>9</v>
      </c>
      <c r="L7" s="24" t="s">
        <v>9</v>
      </c>
      <c r="M7" s="24" t="s">
        <v>9</v>
      </c>
      <c r="N7" s="24" t="s">
        <v>187</v>
      </c>
      <c r="O7" s="24" t="s">
        <v>187</v>
      </c>
      <c r="P7" s="24" t="s">
        <v>187</v>
      </c>
      <c r="Q7" s="24" t="s">
        <v>187</v>
      </c>
      <c r="R7" s="24" t="s">
        <v>188</v>
      </c>
    </row>
    <row r="8" spans="1:18" ht="15.75">
      <c r="A8" s="12"/>
      <c r="B8" s="12"/>
      <c r="C8" s="12"/>
      <c r="D8" s="12"/>
      <c r="E8" s="57">
        <v>40816</v>
      </c>
      <c r="F8" s="57">
        <v>40908</v>
      </c>
      <c r="G8" s="57">
        <v>40999</v>
      </c>
      <c r="H8" s="57">
        <v>41090</v>
      </c>
      <c r="I8" s="57">
        <v>41182</v>
      </c>
      <c r="J8" s="56">
        <v>41274</v>
      </c>
      <c r="K8" s="56">
        <v>41364</v>
      </c>
      <c r="L8" s="56">
        <v>41455</v>
      </c>
      <c r="M8" s="56">
        <v>41547</v>
      </c>
      <c r="N8" s="56">
        <v>41639</v>
      </c>
      <c r="O8" s="56">
        <v>41729</v>
      </c>
      <c r="P8" s="56">
        <v>41820</v>
      </c>
      <c r="Q8" s="56">
        <v>41912</v>
      </c>
      <c r="R8" s="56">
        <v>42004</v>
      </c>
    </row>
    <row r="9" spans="1:18" ht="25.5">
      <c r="A9" s="14" t="s">
        <v>3</v>
      </c>
      <c r="B9" s="18" t="s">
        <v>4</v>
      </c>
      <c r="C9" s="14" t="s">
        <v>5</v>
      </c>
      <c r="D9" s="18" t="s">
        <v>6</v>
      </c>
      <c r="E9" s="55" t="s">
        <v>101</v>
      </c>
      <c r="F9" s="55" t="s">
        <v>101</v>
      </c>
      <c r="G9" s="55" t="s">
        <v>101</v>
      </c>
      <c r="H9" s="55" t="s">
        <v>101</v>
      </c>
      <c r="I9" s="55" t="s">
        <v>101</v>
      </c>
      <c r="J9" s="55" t="s">
        <v>101</v>
      </c>
      <c r="K9" s="55" t="s">
        <v>101</v>
      </c>
      <c r="L9" s="55" t="s">
        <v>101</v>
      </c>
      <c r="M9" s="55" t="s">
        <v>101</v>
      </c>
      <c r="N9" s="55" t="s">
        <v>101</v>
      </c>
      <c r="O9" s="55" t="s">
        <v>101</v>
      </c>
      <c r="P9" s="55" t="s">
        <v>101</v>
      </c>
      <c r="Q9" s="55" t="s">
        <v>101</v>
      </c>
      <c r="R9" s="55" t="s">
        <v>101</v>
      </c>
    </row>
    <row r="10" spans="1:18">
      <c r="A10" s="43" t="s">
        <v>10</v>
      </c>
      <c r="B10" s="49" t="s">
        <v>122</v>
      </c>
      <c r="C10">
        <v>1900</v>
      </c>
      <c r="D10" t="s">
        <v>105</v>
      </c>
      <c r="E10" s="53">
        <v>5044.58</v>
      </c>
      <c r="F10" s="53">
        <v>5044.58</v>
      </c>
      <c r="G10" s="53">
        <v>5044.58</v>
      </c>
      <c r="H10" s="53">
        <v>5044.58</v>
      </c>
      <c r="I10" s="114">
        <v>0</v>
      </c>
      <c r="J10" s="54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</row>
    <row r="11" spans="1:18">
      <c r="A11" s="43" t="s">
        <v>11</v>
      </c>
      <c r="B11" s="49" t="s">
        <v>123</v>
      </c>
      <c r="C11">
        <v>1900</v>
      </c>
      <c r="D11" t="s">
        <v>105</v>
      </c>
      <c r="E11" s="53">
        <v>35376.07</v>
      </c>
      <c r="F11" s="53">
        <v>35376.07</v>
      </c>
      <c r="G11" s="53">
        <v>35376.07</v>
      </c>
      <c r="H11" s="53">
        <v>35376.07</v>
      </c>
      <c r="I11" s="114">
        <v>247263.04499999998</v>
      </c>
      <c r="J11" s="54">
        <v>247263.04499999998</v>
      </c>
      <c r="K11" s="129">
        <v>247263.04499999998</v>
      </c>
      <c r="L11" s="129">
        <v>-10534.630000000005</v>
      </c>
      <c r="M11" s="129">
        <v>122718.11</v>
      </c>
      <c r="N11" s="129">
        <v>122718.11</v>
      </c>
      <c r="O11" s="129">
        <v>122718.11</v>
      </c>
      <c r="P11" s="129">
        <v>76684.675000000003</v>
      </c>
      <c r="Q11" s="129">
        <v>141946.67499999999</v>
      </c>
      <c r="R11" s="129">
        <v>141946.67499999999</v>
      </c>
    </row>
    <row r="12" spans="1:18" ht="16.5" customHeight="1">
      <c r="A12" s="43" t="s">
        <v>12</v>
      </c>
      <c r="B12" s="49" t="s">
        <v>178</v>
      </c>
      <c r="C12">
        <v>2830</v>
      </c>
      <c r="D12" t="s">
        <v>109</v>
      </c>
      <c r="E12" s="53">
        <v>-6328.48</v>
      </c>
      <c r="F12" s="53">
        <v>-6328.48</v>
      </c>
      <c r="G12" s="53">
        <v>-6328.48</v>
      </c>
      <c r="H12" s="53">
        <v>-6328.48</v>
      </c>
      <c r="I12" s="114">
        <v>0</v>
      </c>
      <c r="J12" s="54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</row>
    <row r="13" spans="1:18">
      <c r="A13" s="43" t="s">
        <v>14</v>
      </c>
      <c r="B13" s="49" t="s">
        <v>125</v>
      </c>
      <c r="C13">
        <v>1900</v>
      </c>
      <c r="D13" t="s">
        <v>105</v>
      </c>
      <c r="E13" s="53">
        <v>0</v>
      </c>
      <c r="F13" s="53">
        <v>0</v>
      </c>
      <c r="G13" s="53">
        <v>0</v>
      </c>
      <c r="H13" s="53">
        <v>0</v>
      </c>
      <c r="I13" s="114">
        <v>3984.7049999999999</v>
      </c>
      <c r="J13" s="54">
        <v>3984.7049999999999</v>
      </c>
      <c r="K13" s="129">
        <v>3984.7049999999999</v>
      </c>
      <c r="L13" s="129">
        <v>3984.7049999999999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</row>
    <row r="14" spans="1:18">
      <c r="A14" s="43" t="s">
        <v>15</v>
      </c>
      <c r="B14" s="49" t="s">
        <v>126</v>
      </c>
      <c r="C14">
        <v>1900</v>
      </c>
      <c r="D14" t="s">
        <v>105</v>
      </c>
      <c r="E14" s="53">
        <v>-53879.4</v>
      </c>
      <c r="F14" s="53">
        <v>-53879.4</v>
      </c>
      <c r="G14" s="53">
        <v>-53879.4</v>
      </c>
      <c r="H14" s="53">
        <v>-53879.4</v>
      </c>
      <c r="I14" s="114">
        <v>0</v>
      </c>
      <c r="J14" s="54">
        <v>0</v>
      </c>
      <c r="K14" s="129"/>
      <c r="L14" s="129"/>
      <c r="M14" s="129"/>
      <c r="N14" s="129"/>
      <c r="O14" s="129"/>
      <c r="P14" s="129"/>
      <c r="Q14" s="129"/>
      <c r="R14" s="129"/>
    </row>
    <row r="15" spans="1:18">
      <c r="A15" s="43" t="s">
        <v>15</v>
      </c>
      <c r="B15" s="49" t="s">
        <v>126</v>
      </c>
      <c r="C15">
        <v>2830</v>
      </c>
      <c r="D15" t="s">
        <v>109</v>
      </c>
      <c r="E15" s="53"/>
      <c r="F15" s="53"/>
      <c r="G15" s="53"/>
      <c r="H15" s="53"/>
      <c r="I15" s="114">
        <v>30504</v>
      </c>
      <c r="J15" s="83">
        <v>30504</v>
      </c>
      <c r="K15" s="129">
        <v>30504.145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</row>
    <row r="16" spans="1:18">
      <c r="A16" s="43" t="s">
        <v>16</v>
      </c>
      <c r="B16" s="49" t="s">
        <v>127</v>
      </c>
      <c r="C16">
        <v>1900</v>
      </c>
      <c r="D16" t="s">
        <v>105</v>
      </c>
      <c r="E16" s="53">
        <v>336998.96</v>
      </c>
      <c r="F16" s="53">
        <v>336998.96</v>
      </c>
      <c r="G16" s="53">
        <v>336998.96</v>
      </c>
      <c r="H16" s="53">
        <v>336998.96</v>
      </c>
      <c r="I16" s="114">
        <v>221928.75999999998</v>
      </c>
      <c r="J16" s="54">
        <v>221928.75999999998</v>
      </c>
      <c r="K16" s="129">
        <v>221928.75999999998</v>
      </c>
      <c r="L16" s="129">
        <v>221928.75999999998</v>
      </c>
      <c r="M16" s="129">
        <v>316280.89500000002</v>
      </c>
      <c r="N16" s="129">
        <v>316280.89500000002</v>
      </c>
      <c r="O16" s="129">
        <v>316280.89500000002</v>
      </c>
      <c r="P16" s="129">
        <v>345211.16</v>
      </c>
      <c r="Q16" s="129">
        <v>449413.55</v>
      </c>
      <c r="R16" s="129">
        <v>449413.55</v>
      </c>
    </row>
    <row r="17" spans="1:18">
      <c r="A17" s="43" t="s">
        <v>38</v>
      </c>
      <c r="B17" s="49" t="s">
        <v>136</v>
      </c>
      <c r="C17">
        <v>1900</v>
      </c>
      <c r="D17" t="s">
        <v>105</v>
      </c>
      <c r="E17" s="53">
        <v>-13150.17</v>
      </c>
      <c r="F17" s="53">
        <v>-13150.17</v>
      </c>
      <c r="G17" s="53">
        <v>-13150.17</v>
      </c>
      <c r="H17" s="53">
        <v>-13150.17</v>
      </c>
      <c r="I17" s="114">
        <v>0</v>
      </c>
      <c r="J17" s="54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</row>
    <row r="18" spans="1:18">
      <c r="A18" s="43" t="s">
        <v>39</v>
      </c>
      <c r="B18" s="49" t="s">
        <v>137</v>
      </c>
      <c r="C18">
        <v>2830</v>
      </c>
      <c r="D18" t="s">
        <v>109</v>
      </c>
      <c r="E18" s="53">
        <v>-87174.59</v>
      </c>
      <c r="F18" s="53">
        <v>-87174.59</v>
      </c>
      <c r="G18" s="53">
        <v>-87174.59</v>
      </c>
      <c r="H18" s="53">
        <v>-87174.59</v>
      </c>
      <c r="I18" s="114">
        <v>0</v>
      </c>
      <c r="J18" s="54">
        <v>0</v>
      </c>
      <c r="K18" s="129">
        <v>0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-669.31875000000002</v>
      </c>
    </row>
    <row r="19" spans="1:18">
      <c r="A19" s="43" t="s">
        <v>40</v>
      </c>
      <c r="B19" s="49" t="s">
        <v>138</v>
      </c>
      <c r="C19">
        <v>1900</v>
      </c>
      <c r="D19" t="s">
        <v>105</v>
      </c>
      <c r="E19" s="53">
        <v>21413.75</v>
      </c>
      <c r="F19" s="53">
        <v>21413.75</v>
      </c>
      <c r="G19" s="53">
        <v>21413.75</v>
      </c>
      <c r="H19" s="53">
        <v>21413.75</v>
      </c>
      <c r="I19" s="114">
        <v>22560.649999999998</v>
      </c>
      <c r="J19" s="54">
        <v>22560.649999999998</v>
      </c>
      <c r="K19" s="129">
        <v>22560.649999999998</v>
      </c>
      <c r="L19" s="129">
        <v>22560.649999999998</v>
      </c>
      <c r="M19" s="129">
        <v>23996.924999999999</v>
      </c>
      <c r="N19" s="129">
        <v>23996.924999999999</v>
      </c>
      <c r="O19" s="129">
        <v>23996.924999999999</v>
      </c>
      <c r="P19" s="129">
        <v>23996.924999999999</v>
      </c>
      <c r="Q19" s="129">
        <v>25433.200000000001</v>
      </c>
      <c r="R19" s="129">
        <v>25433.200000000001</v>
      </c>
    </row>
    <row r="20" spans="1:18">
      <c r="A20" s="43" t="s">
        <v>41</v>
      </c>
      <c r="B20" s="49" t="s">
        <v>139</v>
      </c>
      <c r="C20">
        <v>2830</v>
      </c>
      <c r="D20" t="s">
        <v>109</v>
      </c>
      <c r="E20" s="53">
        <v>-36827.21</v>
      </c>
      <c r="F20" s="53">
        <v>-36827.21</v>
      </c>
      <c r="G20" s="53">
        <v>-36827.21</v>
      </c>
      <c r="H20" s="53">
        <v>-36827.21</v>
      </c>
      <c r="I20" s="114">
        <v>-36329.544999999998</v>
      </c>
      <c r="J20" s="54">
        <v>-36329.544999999998</v>
      </c>
      <c r="K20" s="129">
        <v>-36329.544999999998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</row>
    <row r="21" spans="1:18">
      <c r="A21" s="43" t="s">
        <v>42</v>
      </c>
      <c r="B21" s="49" t="s">
        <v>179</v>
      </c>
      <c r="C21">
        <v>1900</v>
      </c>
      <c r="D21" t="s">
        <v>105</v>
      </c>
      <c r="E21" s="53">
        <v>24670.86</v>
      </c>
      <c r="F21" s="53">
        <v>24670.86</v>
      </c>
      <c r="G21" s="53">
        <v>24670.86</v>
      </c>
      <c r="H21" s="53">
        <v>24670.86</v>
      </c>
      <c r="I21" s="114">
        <v>0</v>
      </c>
      <c r="J21" s="54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</row>
    <row r="22" spans="1:18">
      <c r="A22" s="43" t="s">
        <v>43</v>
      </c>
      <c r="B22" s="49" t="s">
        <v>140</v>
      </c>
      <c r="C22">
        <v>2830</v>
      </c>
      <c r="D22" t="s">
        <v>109</v>
      </c>
      <c r="E22" s="53">
        <v>-1187833.2</v>
      </c>
      <c r="F22" s="53">
        <v>-1187833.2</v>
      </c>
      <c r="G22" s="53">
        <v>-1187833.2</v>
      </c>
      <c r="H22" s="53">
        <v>-1187833.2</v>
      </c>
      <c r="I22" s="114">
        <v>-1171781.3999999999</v>
      </c>
      <c r="J22" s="54">
        <v>-1171781.3999999999</v>
      </c>
      <c r="K22" s="129">
        <v>-1171781.3999999999</v>
      </c>
      <c r="L22" s="129">
        <v>-1171781.3999999999</v>
      </c>
      <c r="M22" s="129">
        <v>-1171781.3999999999</v>
      </c>
      <c r="N22" s="129">
        <v>-1171781.3999999999</v>
      </c>
      <c r="O22" s="129">
        <v>-1171781.3999999999</v>
      </c>
      <c r="P22" s="129">
        <v>-1171781.3999999999</v>
      </c>
      <c r="Q22" s="129">
        <v>-1171781.3999999999</v>
      </c>
      <c r="R22" s="129">
        <v>-1171781.3999999999</v>
      </c>
    </row>
    <row r="23" spans="1:18">
      <c r="A23" s="43" t="s">
        <v>45</v>
      </c>
      <c r="B23" s="49" t="s">
        <v>141</v>
      </c>
      <c r="C23">
        <v>2830</v>
      </c>
      <c r="D23" t="s">
        <v>109</v>
      </c>
      <c r="E23" s="53">
        <v>-128600.9</v>
      </c>
      <c r="F23" s="53">
        <v>-128600.9</v>
      </c>
      <c r="G23" s="53">
        <v>-128600.9</v>
      </c>
      <c r="H23" s="53">
        <v>-128600.9</v>
      </c>
      <c r="I23" s="114">
        <v>-132238.04</v>
      </c>
      <c r="J23" s="54">
        <v>-132238.04</v>
      </c>
      <c r="K23" s="129">
        <v>-132238.04</v>
      </c>
      <c r="L23" s="129">
        <v>-132238.04</v>
      </c>
      <c r="M23" s="129">
        <v>-137613.03</v>
      </c>
      <c r="N23" s="129">
        <v>-137613.03</v>
      </c>
      <c r="O23" s="129">
        <v>-137613.03</v>
      </c>
      <c r="P23" s="129">
        <v>-137613.03</v>
      </c>
      <c r="Q23" s="129">
        <v>-142988.01999999999</v>
      </c>
      <c r="R23" s="129">
        <v>-142988.01999999999</v>
      </c>
    </row>
    <row r="24" spans="1:18">
      <c r="A24" s="43" t="s">
        <v>36</v>
      </c>
      <c r="B24" s="49" t="s">
        <v>128</v>
      </c>
      <c r="C24">
        <v>2830</v>
      </c>
      <c r="D24" t="s">
        <v>109</v>
      </c>
      <c r="E24" s="53">
        <v>0</v>
      </c>
      <c r="F24" s="53">
        <v>0</v>
      </c>
      <c r="G24" s="53">
        <v>0</v>
      </c>
      <c r="H24" s="53">
        <v>0</v>
      </c>
      <c r="I24" s="114">
        <v>-676175</v>
      </c>
      <c r="J24" s="54">
        <f>I24</f>
        <v>-676175</v>
      </c>
      <c r="K24" s="129"/>
      <c r="L24" s="129"/>
      <c r="M24" s="129"/>
      <c r="N24" s="129"/>
      <c r="O24" s="129"/>
      <c r="P24" s="129"/>
      <c r="Q24" s="129"/>
      <c r="R24" s="129"/>
    </row>
    <row r="25" spans="1:18">
      <c r="A25" s="43" t="s">
        <v>36</v>
      </c>
      <c r="B25" s="49" t="s">
        <v>128</v>
      </c>
      <c r="C25">
        <v>2820</v>
      </c>
      <c r="D25" t="s">
        <v>106</v>
      </c>
      <c r="E25" s="53"/>
      <c r="F25" s="53">
        <v>-4174174</v>
      </c>
      <c r="G25" s="53">
        <v>-2463270.0124000008</v>
      </c>
      <c r="H25" s="53">
        <v>5894904.3503999989</v>
      </c>
      <c r="I25" s="114"/>
      <c r="J25" s="83">
        <f>-3056370-I24</f>
        <v>-2380195</v>
      </c>
      <c r="K25" s="129">
        <v>1282623.7665499989</v>
      </c>
      <c r="L25" s="129">
        <v>1024344.8256999995</v>
      </c>
      <c r="M25" s="129">
        <v>0</v>
      </c>
      <c r="N25" s="129">
        <v>-328294.69480000046</v>
      </c>
      <c r="O25" s="129">
        <v>-3327749.5373000004</v>
      </c>
      <c r="P25" s="129">
        <v>442333.72529999953</v>
      </c>
      <c r="Q25" s="129">
        <v>0</v>
      </c>
      <c r="R25" s="129">
        <v>-4232173.5472999997</v>
      </c>
    </row>
    <row r="26" spans="1:18">
      <c r="A26" s="43" t="s">
        <v>37</v>
      </c>
      <c r="B26" s="49" t="s">
        <v>129</v>
      </c>
      <c r="C26">
        <v>2830</v>
      </c>
      <c r="D26" t="s">
        <v>109</v>
      </c>
      <c r="E26" s="53">
        <v>0</v>
      </c>
      <c r="F26" s="53">
        <v>0</v>
      </c>
      <c r="G26" s="53">
        <v>0</v>
      </c>
      <c r="H26" s="53">
        <v>0</v>
      </c>
      <c r="I26" s="114">
        <v>0</v>
      </c>
      <c r="J26" s="54">
        <v>0</v>
      </c>
      <c r="K26" s="129"/>
      <c r="L26" s="129"/>
      <c r="M26" s="129"/>
      <c r="N26" s="129"/>
      <c r="O26" s="129"/>
      <c r="P26" s="129"/>
      <c r="Q26" s="129"/>
      <c r="R26" s="129"/>
    </row>
    <row r="27" spans="1:18">
      <c r="A27" s="43" t="s">
        <v>37</v>
      </c>
      <c r="B27" s="49" t="s">
        <v>129</v>
      </c>
      <c r="C27">
        <v>2820</v>
      </c>
      <c r="D27" t="s">
        <v>106</v>
      </c>
      <c r="E27" s="53"/>
      <c r="F27" s="53"/>
      <c r="G27" s="53"/>
      <c r="H27" s="53">
        <v>-4902312</v>
      </c>
      <c r="I27" s="114"/>
      <c r="J27" s="83">
        <v>1180208</v>
      </c>
      <c r="K27" s="129">
        <v>-1724754.2720499996</v>
      </c>
      <c r="L27" s="129">
        <v>-1778400.1616499999</v>
      </c>
      <c r="M27" s="129">
        <v>0</v>
      </c>
      <c r="N27" s="129">
        <v>1284101.30605</v>
      </c>
      <c r="O27" s="129">
        <v>1294613.3899999999</v>
      </c>
      <c r="P27" s="129">
        <v>292474.5</v>
      </c>
      <c r="Q27" s="129">
        <v>0</v>
      </c>
      <c r="R27" s="129">
        <v>-898258.42999999993</v>
      </c>
    </row>
    <row r="28" spans="1:18">
      <c r="A28" s="43" t="s">
        <v>62</v>
      </c>
      <c r="B28" s="49" t="s">
        <v>164</v>
      </c>
      <c r="C28">
        <v>1900</v>
      </c>
      <c r="D28" t="s">
        <v>105</v>
      </c>
      <c r="E28" s="53">
        <v>16987.07</v>
      </c>
      <c r="F28" s="53">
        <v>16987.07</v>
      </c>
      <c r="G28" s="53">
        <v>16987.07</v>
      </c>
      <c r="H28" s="53">
        <v>16987.07</v>
      </c>
      <c r="I28" s="114">
        <v>11620.869999999999</v>
      </c>
      <c r="J28" s="54">
        <v>11620.869999999999</v>
      </c>
      <c r="K28" s="129">
        <v>11620.869999999999</v>
      </c>
      <c r="L28" s="129">
        <v>12879</v>
      </c>
      <c r="M28" s="129">
        <v>6484.59</v>
      </c>
      <c r="N28" s="129">
        <v>6484.59</v>
      </c>
      <c r="O28" s="129">
        <v>6484.59</v>
      </c>
      <c r="P28" s="129">
        <v>6484.59</v>
      </c>
      <c r="Q28" s="129">
        <v>4168.665</v>
      </c>
      <c r="R28" s="129">
        <v>4168.665</v>
      </c>
    </row>
    <row r="29" spans="1:18">
      <c r="A29" s="43" t="s">
        <v>63</v>
      </c>
      <c r="B29" s="49" t="s">
        <v>165</v>
      </c>
      <c r="C29">
        <v>1900</v>
      </c>
      <c r="D29" t="s">
        <v>105</v>
      </c>
      <c r="E29" s="53">
        <v>6678.13</v>
      </c>
      <c r="F29" s="53">
        <v>6678.13</v>
      </c>
      <c r="G29" s="53">
        <v>6678.13</v>
      </c>
      <c r="H29" s="53">
        <v>6678.13</v>
      </c>
      <c r="I29" s="114">
        <v>2124.2999999999997</v>
      </c>
      <c r="J29" s="54">
        <v>2124.2999999999997</v>
      </c>
      <c r="K29" s="129">
        <v>2124.2999999999997</v>
      </c>
      <c r="L29" s="129">
        <v>866</v>
      </c>
      <c r="M29" s="129">
        <v>0</v>
      </c>
      <c r="N29" s="129">
        <v>0</v>
      </c>
      <c r="O29" s="129">
        <v>0</v>
      </c>
      <c r="P29" s="129">
        <v>0</v>
      </c>
      <c r="Q29" s="129">
        <v>0</v>
      </c>
      <c r="R29" s="129">
        <v>0</v>
      </c>
    </row>
    <row r="30" spans="1:18">
      <c r="A30" s="43" t="s">
        <v>18</v>
      </c>
      <c r="B30" s="49" t="s">
        <v>147</v>
      </c>
      <c r="C30">
        <v>1900</v>
      </c>
      <c r="D30" t="s">
        <v>105</v>
      </c>
      <c r="E30" s="53">
        <v>1121850.3600000001</v>
      </c>
      <c r="F30" s="53">
        <f>E30</f>
        <v>1121850.3600000001</v>
      </c>
      <c r="G30" s="53">
        <f>F30</f>
        <v>1121850.3600000001</v>
      </c>
      <c r="H30" s="53">
        <f>G30</f>
        <v>1121850.3600000001</v>
      </c>
      <c r="I30" s="114">
        <v>1307521.615</v>
      </c>
      <c r="J30" s="54">
        <f>I30</f>
        <v>1307521.615</v>
      </c>
      <c r="K30" s="129">
        <v>1313412.1675</v>
      </c>
      <c r="L30" s="129">
        <v>1317308.6447000001</v>
      </c>
      <c r="M30" s="129">
        <v>1323159.675</v>
      </c>
      <c r="N30" s="129">
        <v>1327223.0083000001</v>
      </c>
      <c r="O30" s="129">
        <v>1333318.00825</v>
      </c>
      <c r="P30" s="129">
        <v>1339413.0082</v>
      </c>
      <c r="Q30" s="129">
        <v>1347539.8499999999</v>
      </c>
      <c r="R30" s="129">
        <v>1351131.9025999997</v>
      </c>
    </row>
    <row r="31" spans="1:18">
      <c r="A31" s="43" t="s">
        <v>18</v>
      </c>
      <c r="B31" s="49" t="s">
        <v>147</v>
      </c>
      <c r="C31">
        <v>2820</v>
      </c>
      <c r="D31" t="s">
        <v>106</v>
      </c>
      <c r="E31" s="53"/>
      <c r="F31" s="53">
        <f>1122839-E30</f>
        <v>988.63999999989755</v>
      </c>
      <c r="G31" s="53">
        <f>1124322-E30</f>
        <v>2471.6399999998976</v>
      </c>
      <c r="H31" s="53">
        <f>1125805-G30</f>
        <v>3954.6399999998976</v>
      </c>
      <c r="I31" s="114"/>
      <c r="J31" s="83">
        <f>1309878-I30</f>
        <v>2356.3850000000093</v>
      </c>
      <c r="K31" s="129"/>
      <c r="L31" s="129"/>
      <c r="M31" s="129"/>
      <c r="N31" s="129"/>
      <c r="O31" s="129"/>
      <c r="P31" s="129"/>
      <c r="Q31" s="129"/>
      <c r="R31" s="129"/>
    </row>
    <row r="32" spans="1:18">
      <c r="A32" s="43" t="s">
        <v>47</v>
      </c>
      <c r="B32" s="49" t="s">
        <v>130</v>
      </c>
      <c r="C32">
        <v>1900</v>
      </c>
      <c r="D32" t="s">
        <v>105</v>
      </c>
      <c r="E32" s="53">
        <v>969977.2</v>
      </c>
      <c r="F32" s="53">
        <v>969977.2</v>
      </c>
      <c r="G32" s="53">
        <v>969977.2</v>
      </c>
      <c r="H32" s="53">
        <v>969977.2</v>
      </c>
      <c r="I32" s="114">
        <v>1356302.04</v>
      </c>
      <c r="J32" s="54">
        <v>1356302.04</v>
      </c>
      <c r="K32" s="129">
        <v>1356302.04</v>
      </c>
      <c r="L32" s="129">
        <v>1301169.155</v>
      </c>
      <c r="M32" s="129">
        <v>1343426.3</v>
      </c>
      <c r="N32" s="129">
        <v>1343426.3</v>
      </c>
      <c r="O32" s="129">
        <v>1343426.3</v>
      </c>
      <c r="P32" s="129">
        <v>1310453.2949999999</v>
      </c>
      <c r="Q32" s="129">
        <v>1716847.2149999999</v>
      </c>
      <c r="R32" s="129">
        <v>1716847.2149999999</v>
      </c>
    </row>
    <row r="33" spans="1:18">
      <c r="A33" s="43" t="s">
        <v>48</v>
      </c>
      <c r="B33" s="49" t="s">
        <v>131</v>
      </c>
      <c r="C33">
        <v>1900</v>
      </c>
      <c r="D33" t="s">
        <v>105</v>
      </c>
      <c r="E33" s="53">
        <v>128887.28</v>
      </c>
      <c r="F33" s="53">
        <f>E33</f>
        <v>128887.28</v>
      </c>
      <c r="G33" s="53">
        <f>F33</f>
        <v>128887.28</v>
      </c>
      <c r="H33" s="53">
        <f>G33</f>
        <v>128887.28</v>
      </c>
      <c r="I33" s="114">
        <v>188699.52499999999</v>
      </c>
      <c r="J33" s="54">
        <f>I33</f>
        <v>188699.52499999999</v>
      </c>
      <c r="K33" s="129">
        <v>365579.71124999761</v>
      </c>
      <c r="L33" s="129">
        <v>317359.38604999764</v>
      </c>
      <c r="M33" s="129">
        <v>129266.575</v>
      </c>
      <c r="N33" s="129">
        <v>85354.578400000726</v>
      </c>
      <c r="O33" s="129">
        <v>143253.95170000326</v>
      </c>
      <c r="P33" s="129">
        <v>200140.41715000081</v>
      </c>
      <c r="Q33" s="129">
        <v>147478.98000000001</v>
      </c>
      <c r="R33" s="129">
        <v>89084.089999998992</v>
      </c>
    </row>
    <row r="34" spans="1:18">
      <c r="A34" s="43" t="s">
        <v>48</v>
      </c>
      <c r="B34" s="49" t="s">
        <v>131</v>
      </c>
      <c r="C34">
        <v>2820</v>
      </c>
      <c r="D34" t="s">
        <v>106</v>
      </c>
      <c r="E34" s="53"/>
      <c r="F34" s="53">
        <f>244763-E33</f>
        <v>115875.72</v>
      </c>
      <c r="G34" s="53">
        <f>445556-E33</f>
        <v>316668.71999999997</v>
      </c>
      <c r="H34" s="53">
        <f>500945-E33</f>
        <v>372057.72</v>
      </c>
      <c r="I34" s="114"/>
      <c r="J34" s="83">
        <f>240569-I33</f>
        <v>51869.475000000006</v>
      </c>
      <c r="K34" s="129"/>
      <c r="L34" s="129"/>
      <c r="M34" s="129"/>
      <c r="N34" s="129"/>
      <c r="O34" s="129"/>
      <c r="P34" s="129"/>
      <c r="Q34" s="129"/>
      <c r="R34" s="129"/>
    </row>
    <row r="35" spans="1:18" ht="15.75" customHeight="1">
      <c r="A35" s="43" t="s">
        <v>49</v>
      </c>
      <c r="B35" s="49" t="s">
        <v>132</v>
      </c>
      <c r="C35">
        <v>1900</v>
      </c>
      <c r="D35" t="s">
        <v>105</v>
      </c>
      <c r="E35" s="53">
        <v>971.62</v>
      </c>
      <c r="F35" s="53">
        <v>971.62</v>
      </c>
      <c r="G35" s="53">
        <v>971.62</v>
      </c>
      <c r="H35" s="53">
        <v>971.62</v>
      </c>
      <c r="I35" s="114">
        <f>958.49+-388216</f>
        <v>-387257.51</v>
      </c>
      <c r="J35" s="54">
        <f>I35</f>
        <v>-387257.51</v>
      </c>
      <c r="K35" s="129"/>
      <c r="L35" s="129"/>
      <c r="M35" s="129"/>
      <c r="N35" s="129"/>
      <c r="O35" s="129"/>
      <c r="P35" s="129"/>
      <c r="Q35" s="129"/>
      <c r="R35" s="129"/>
    </row>
    <row r="36" spans="1:18" ht="15.75" customHeight="1">
      <c r="A36" s="43" t="s">
        <v>49</v>
      </c>
      <c r="B36" s="49" t="s">
        <v>132</v>
      </c>
      <c r="C36">
        <v>2820</v>
      </c>
      <c r="D36" t="s">
        <v>106</v>
      </c>
      <c r="E36" s="53"/>
      <c r="F36" s="53"/>
      <c r="G36" s="53"/>
      <c r="H36" s="53"/>
      <c r="I36" s="114"/>
      <c r="J36" s="83">
        <f>957-I35</f>
        <v>388214.51</v>
      </c>
      <c r="K36" s="129">
        <v>389174.49</v>
      </c>
      <c r="L36" s="129">
        <v>958.49</v>
      </c>
      <c r="M36" s="129">
        <v>958.49</v>
      </c>
      <c r="N36" s="129">
        <v>958.49</v>
      </c>
      <c r="O36" s="129">
        <v>958.49</v>
      </c>
      <c r="P36" s="129">
        <v>958.49</v>
      </c>
      <c r="Q36" s="129">
        <v>0</v>
      </c>
      <c r="R36" s="129">
        <v>0</v>
      </c>
    </row>
    <row r="37" spans="1:18">
      <c r="A37" s="43" t="s">
        <v>50</v>
      </c>
      <c r="B37" s="49" t="s">
        <v>153</v>
      </c>
      <c r="C37">
        <v>1900</v>
      </c>
      <c r="D37" t="s">
        <v>105</v>
      </c>
      <c r="E37" s="53">
        <v>70095.759999999995</v>
      </c>
      <c r="F37" s="53">
        <v>70095.759999999995</v>
      </c>
      <c r="G37" s="53">
        <v>70095.759999999995</v>
      </c>
      <c r="H37" s="53">
        <v>70095.759999999995</v>
      </c>
      <c r="I37" s="114">
        <v>69162.39</v>
      </c>
      <c r="J37" s="54">
        <v>69162.39</v>
      </c>
      <c r="K37" s="129">
        <v>69162.39</v>
      </c>
      <c r="L37" s="129">
        <v>82935.226999999999</v>
      </c>
      <c r="M37" s="129">
        <v>0</v>
      </c>
      <c r="N37" s="129">
        <v>61352.484999999993</v>
      </c>
      <c r="O37" s="129">
        <v>83254.675000000003</v>
      </c>
      <c r="P37" s="129">
        <v>120022.94999999998</v>
      </c>
      <c r="Q37" s="129">
        <v>0</v>
      </c>
      <c r="R37" s="129">
        <v>64512.29</v>
      </c>
    </row>
    <row r="38" spans="1:18">
      <c r="A38" s="43" t="s">
        <v>51</v>
      </c>
      <c r="B38" s="49" t="s">
        <v>154</v>
      </c>
      <c r="C38">
        <v>2830</v>
      </c>
      <c r="D38" t="s">
        <v>109</v>
      </c>
      <c r="E38" s="53">
        <v>-70830.58</v>
      </c>
      <c r="F38" s="53">
        <v>-70830.58</v>
      </c>
      <c r="G38" s="53">
        <v>-70830.58</v>
      </c>
      <c r="H38" s="53">
        <v>-70830.58</v>
      </c>
      <c r="I38" s="114">
        <v>-69873.41</v>
      </c>
      <c r="J38" s="54">
        <v>-69873.41</v>
      </c>
      <c r="K38" s="129">
        <v>-69873.41</v>
      </c>
      <c r="L38" s="129">
        <v>0</v>
      </c>
      <c r="M38" s="129">
        <v>0</v>
      </c>
      <c r="N38" s="129">
        <v>0</v>
      </c>
      <c r="O38" s="129">
        <v>0</v>
      </c>
      <c r="P38" s="129">
        <v>0</v>
      </c>
      <c r="Q38" s="129">
        <v>0</v>
      </c>
      <c r="R38" s="129">
        <v>0</v>
      </c>
    </row>
    <row r="39" spans="1:18">
      <c r="A39" s="43" t="s">
        <v>52</v>
      </c>
      <c r="B39" s="49" t="s">
        <v>155</v>
      </c>
      <c r="C39">
        <v>1900</v>
      </c>
      <c r="D39" t="s">
        <v>105</v>
      </c>
      <c r="E39" s="53">
        <v>413125.35</v>
      </c>
      <c r="F39" s="53">
        <v>413125.35</v>
      </c>
      <c r="G39" s="53">
        <v>413125.35</v>
      </c>
      <c r="H39" s="53">
        <v>413125.35</v>
      </c>
      <c r="I39" s="114">
        <v>407542.57500000001</v>
      </c>
      <c r="J39" s="54">
        <v>407542.57500000001</v>
      </c>
      <c r="K39" s="129">
        <v>407542.57500000001</v>
      </c>
      <c r="L39" s="129">
        <v>407542.57500000001</v>
      </c>
      <c r="M39" s="129">
        <v>407542.57500000001</v>
      </c>
      <c r="N39" s="129">
        <v>407542.57500000001</v>
      </c>
      <c r="O39" s="129">
        <v>407542.57500000001</v>
      </c>
      <c r="P39" s="129">
        <v>407542.57500000001</v>
      </c>
      <c r="Q39" s="129">
        <v>407542.57500000001</v>
      </c>
      <c r="R39" s="129">
        <v>407542.57500000001</v>
      </c>
    </row>
    <row r="40" spans="1:18">
      <c r="A40" s="43" t="s">
        <v>53</v>
      </c>
      <c r="B40" s="49" t="s">
        <v>156</v>
      </c>
      <c r="C40">
        <v>1900</v>
      </c>
      <c r="D40" t="s">
        <v>105</v>
      </c>
      <c r="E40" s="53">
        <v>14330.1</v>
      </c>
      <c r="F40" s="53">
        <v>14330.1</v>
      </c>
      <c r="G40" s="53">
        <v>14330.1</v>
      </c>
      <c r="H40" s="53">
        <v>14330.1</v>
      </c>
      <c r="I40" s="114">
        <v>7067.4949999999999</v>
      </c>
      <c r="J40" s="54">
        <v>7067.4949999999999</v>
      </c>
      <c r="K40" s="129">
        <v>7067.4949999999999</v>
      </c>
      <c r="L40" s="129">
        <v>7067.4949999999999</v>
      </c>
      <c r="M40" s="129">
        <v>0</v>
      </c>
      <c r="N40" s="129">
        <v>0</v>
      </c>
      <c r="O40" s="129">
        <v>0</v>
      </c>
      <c r="P40" s="129">
        <v>0</v>
      </c>
      <c r="Q40" s="129">
        <v>0</v>
      </c>
      <c r="R40" s="129">
        <v>0</v>
      </c>
    </row>
    <row r="41" spans="1:18">
      <c r="A41" s="43" t="s">
        <v>55</v>
      </c>
      <c r="B41" s="49" t="s">
        <v>134</v>
      </c>
      <c r="C41">
        <v>2830</v>
      </c>
      <c r="D41" t="s">
        <v>109</v>
      </c>
      <c r="E41" s="53">
        <v>0</v>
      </c>
      <c r="F41" s="53">
        <v>0</v>
      </c>
      <c r="G41" s="53">
        <v>0</v>
      </c>
      <c r="H41" s="53">
        <v>0</v>
      </c>
      <c r="I41" s="114">
        <v>0</v>
      </c>
      <c r="J41" s="54">
        <v>0</v>
      </c>
      <c r="K41" s="129"/>
      <c r="L41" s="129"/>
      <c r="M41" s="129"/>
      <c r="N41" s="129"/>
      <c r="O41" s="129"/>
      <c r="P41" s="129"/>
      <c r="Q41" s="129"/>
      <c r="R41" s="129"/>
    </row>
    <row r="42" spans="1:18">
      <c r="A42" s="43" t="s">
        <v>55</v>
      </c>
      <c r="B42" s="49" t="s">
        <v>134</v>
      </c>
      <c r="C42">
        <v>2820</v>
      </c>
      <c r="D42" t="s">
        <v>106</v>
      </c>
      <c r="E42" s="53"/>
      <c r="F42" s="53">
        <v>44304</v>
      </c>
      <c r="G42" s="53">
        <v>122982</v>
      </c>
      <c r="H42" s="53">
        <v>164186</v>
      </c>
      <c r="I42" s="114"/>
      <c r="J42" s="83">
        <v>-581</v>
      </c>
      <c r="K42" s="129">
        <v>-23202.998899999999</v>
      </c>
      <c r="L42" s="129">
        <v>-9411.9082500000004</v>
      </c>
      <c r="M42" s="129">
        <v>0</v>
      </c>
      <c r="N42" s="129">
        <v>194.05590000000666</v>
      </c>
      <c r="O42" s="129">
        <v>244.10470000002533</v>
      </c>
      <c r="P42" s="129">
        <v>200.1003</v>
      </c>
      <c r="Q42" s="129">
        <v>0</v>
      </c>
      <c r="R42" s="129">
        <v>1.5877500000000004</v>
      </c>
    </row>
    <row r="43" spans="1:18">
      <c r="A43" s="43" t="s">
        <v>57</v>
      </c>
      <c r="B43" s="49" t="s">
        <v>135</v>
      </c>
      <c r="C43">
        <v>2830</v>
      </c>
      <c r="D43" t="s">
        <v>109</v>
      </c>
      <c r="E43" s="53">
        <v>-147909.35</v>
      </c>
      <c r="F43" s="53">
        <f>E43</f>
        <v>-147909.35</v>
      </c>
      <c r="G43" s="53">
        <f>F43</f>
        <v>-147909.35</v>
      </c>
      <c r="H43" s="53">
        <f>G43</f>
        <v>-147909.35</v>
      </c>
      <c r="I43" s="114">
        <v>-317389.39999999997</v>
      </c>
      <c r="J43" s="54">
        <f>I43</f>
        <v>-317389.39999999997</v>
      </c>
      <c r="K43" s="129">
        <v>-102541.27499999997</v>
      </c>
      <c r="L43" s="129">
        <v>-53918.164999999979</v>
      </c>
      <c r="M43" s="129">
        <v>-22303.325000000001</v>
      </c>
      <c r="N43" s="129">
        <v>175629.96999999997</v>
      </c>
      <c r="O43" s="129">
        <v>-418978.02500000002</v>
      </c>
      <c r="P43" s="129">
        <v>-47076.97</v>
      </c>
      <c r="Q43" s="129">
        <v>-42863.775000000001</v>
      </c>
      <c r="R43" s="129">
        <v>1216956.355</v>
      </c>
    </row>
    <row r="44" spans="1:18">
      <c r="A44" s="43" t="s">
        <v>57</v>
      </c>
      <c r="B44" s="49" t="s">
        <v>135</v>
      </c>
      <c r="C44">
        <v>2820</v>
      </c>
      <c r="D44" t="s">
        <v>106</v>
      </c>
      <c r="E44" s="53"/>
      <c r="F44" s="53">
        <f>-45630-E43</f>
        <v>102279.35</v>
      </c>
      <c r="G44" s="53">
        <f>-393764-E43</f>
        <v>-245854.65</v>
      </c>
      <c r="H44" s="53">
        <f>-378278-E43</f>
        <v>-230368.65</v>
      </c>
      <c r="I44" s="114"/>
      <c r="J44" s="83">
        <f>-547770-I43</f>
        <v>-230380.60000000003</v>
      </c>
      <c r="K44" s="129"/>
      <c r="L44" s="129"/>
      <c r="M44" s="129"/>
      <c r="N44" s="129"/>
      <c r="O44" s="129"/>
      <c r="P44" s="129"/>
      <c r="Q44" s="129"/>
      <c r="R44" s="129"/>
    </row>
    <row r="45" spans="1:18">
      <c r="A45" s="43" t="s">
        <v>195</v>
      </c>
      <c r="B45" s="49" t="s">
        <v>196</v>
      </c>
      <c r="C45">
        <v>2820</v>
      </c>
      <c r="D45" t="s">
        <v>106</v>
      </c>
      <c r="E45" s="53"/>
      <c r="F45" s="53"/>
      <c r="G45" s="53"/>
      <c r="H45" s="53"/>
      <c r="I45" s="114"/>
      <c r="J45" s="83"/>
      <c r="K45" s="129"/>
      <c r="L45" s="129"/>
      <c r="M45" s="129"/>
      <c r="N45" s="129">
        <v>-188598.3762</v>
      </c>
      <c r="O45" s="129">
        <v>-140592.06145000001</v>
      </c>
      <c r="P45" s="129">
        <v>-140592.06145000001</v>
      </c>
      <c r="Q45" s="129"/>
      <c r="R45" s="129"/>
    </row>
    <row r="46" spans="1:18">
      <c r="A46" s="48" t="s">
        <v>64</v>
      </c>
      <c r="B46" s="49" t="s">
        <v>181</v>
      </c>
      <c r="C46">
        <v>1900</v>
      </c>
      <c r="D46" t="s">
        <v>105</v>
      </c>
      <c r="E46" s="53">
        <v>37055</v>
      </c>
      <c r="F46" s="53">
        <f>E46</f>
        <v>37055</v>
      </c>
      <c r="G46" s="53">
        <f>F46</f>
        <v>37055</v>
      </c>
      <c r="H46" s="53">
        <f>G46</f>
        <v>37055</v>
      </c>
      <c r="I46" s="114">
        <v>0</v>
      </c>
      <c r="J46" s="54">
        <v>0</v>
      </c>
      <c r="K46" s="129"/>
      <c r="L46" s="129"/>
      <c r="M46" s="129"/>
      <c r="N46" s="129"/>
      <c r="O46" s="129"/>
      <c r="P46" s="129"/>
      <c r="Q46" s="129"/>
      <c r="R46" s="129"/>
    </row>
    <row r="47" spans="1:18">
      <c r="A47" s="80" t="s">
        <v>64</v>
      </c>
      <c r="B47" s="49" t="s">
        <v>181</v>
      </c>
      <c r="C47">
        <v>2820</v>
      </c>
      <c r="D47" t="s">
        <v>106</v>
      </c>
      <c r="E47" s="53"/>
      <c r="F47" s="53">
        <f>444037-E46</f>
        <v>406982</v>
      </c>
      <c r="G47" s="53">
        <f>851019-E46</f>
        <v>813964</v>
      </c>
      <c r="H47" s="53">
        <f>1418440-E46</f>
        <v>1381385</v>
      </c>
      <c r="I47" s="114"/>
      <c r="J47" s="83">
        <v>775524</v>
      </c>
      <c r="K47" s="129">
        <v>1551047.966514</v>
      </c>
      <c r="L47" s="129">
        <v>264798.99444149999</v>
      </c>
      <c r="M47" s="129">
        <v>0</v>
      </c>
      <c r="N47" s="129">
        <v>73709.258418750003</v>
      </c>
      <c r="O47" s="129">
        <v>147418.51683750001</v>
      </c>
      <c r="P47" s="129">
        <v>7927.0723724999989</v>
      </c>
      <c r="Q47" s="129">
        <v>0</v>
      </c>
      <c r="R47" s="129">
        <v>129031.24020062499</v>
      </c>
    </row>
    <row r="48" spans="1:18">
      <c r="A48" s="43" t="s">
        <v>25</v>
      </c>
      <c r="B48" s="49" t="s">
        <v>160</v>
      </c>
      <c r="C48">
        <v>1900</v>
      </c>
      <c r="D48" t="s">
        <v>105</v>
      </c>
      <c r="E48" s="53">
        <v>9531901.8900000006</v>
      </c>
      <c r="F48" s="53">
        <f>E48</f>
        <v>9531901.8900000006</v>
      </c>
      <c r="G48" s="53">
        <f>F48</f>
        <v>9531901.8900000006</v>
      </c>
      <c r="H48" s="53">
        <f>G48</f>
        <v>9531901.8900000006</v>
      </c>
      <c r="I48" s="114">
        <v>5752522.2749999994</v>
      </c>
      <c r="J48" s="54">
        <f>I48</f>
        <v>5752522.2749999994</v>
      </c>
      <c r="K48" s="129">
        <v>6117307.6221499993</v>
      </c>
      <c r="L48" s="129">
        <v>4732240.8920999989</v>
      </c>
      <c r="M48" s="129">
        <v>3398365.7149999999</v>
      </c>
      <c r="N48" s="129">
        <v>3116140.3346999991</v>
      </c>
      <c r="O48" s="129">
        <v>3056238.4108000002</v>
      </c>
      <c r="P48" s="129">
        <v>2789726.5724999998</v>
      </c>
      <c r="Q48" s="129">
        <v>2745190.1850000001</v>
      </c>
      <c r="R48" s="129">
        <v>2584126.2481000009</v>
      </c>
    </row>
    <row r="49" spans="1:18">
      <c r="A49" s="43" t="s">
        <v>25</v>
      </c>
      <c r="B49" s="49" t="s">
        <v>160</v>
      </c>
      <c r="C49">
        <v>2820</v>
      </c>
      <c r="D49" t="s">
        <v>106</v>
      </c>
      <c r="E49" s="53"/>
      <c r="F49" s="53">
        <f>9380204-E48</f>
        <v>-151697.8900000006</v>
      </c>
      <c r="G49" s="53">
        <f>9552064-E48</f>
        <v>20162.109999999404</v>
      </c>
      <c r="H49" s="53">
        <f>9228108-E48</f>
        <v>-303793.8900000006</v>
      </c>
      <c r="I49" s="114"/>
      <c r="J49" s="83">
        <f>5635725-I48</f>
        <v>-116797.27499999944</v>
      </c>
      <c r="K49" s="129"/>
      <c r="L49" s="129"/>
      <c r="M49" s="129"/>
      <c r="N49" s="129"/>
      <c r="O49" s="129"/>
      <c r="P49" s="129"/>
      <c r="Q49" s="129"/>
      <c r="R49" s="129"/>
    </row>
    <row r="50" spans="1:18">
      <c r="A50" s="43" t="s">
        <v>60</v>
      </c>
      <c r="B50" s="49" t="s">
        <v>162</v>
      </c>
      <c r="C50">
        <v>2830</v>
      </c>
      <c r="D50" t="s">
        <v>109</v>
      </c>
      <c r="E50" s="53">
        <v>-568458.75</v>
      </c>
      <c r="F50" s="53">
        <v>-568458.75</v>
      </c>
      <c r="G50" s="53">
        <v>-568458.75</v>
      </c>
      <c r="H50" s="53">
        <v>-568458.75</v>
      </c>
      <c r="I50" s="114">
        <v>-510717.85499999998</v>
      </c>
      <c r="J50" s="54">
        <v>-510717.85499999998</v>
      </c>
      <c r="K50" s="129">
        <v>-510717.85499999998</v>
      </c>
      <c r="L50" s="129">
        <v>-510717.85499999998</v>
      </c>
      <c r="M50" s="129">
        <v>-460658.83499999996</v>
      </c>
      <c r="N50" s="129">
        <v>-460658.83499999996</v>
      </c>
      <c r="O50" s="129">
        <v>-460658.83499999996</v>
      </c>
      <c r="P50" s="129">
        <v>-460658.83499999996</v>
      </c>
      <c r="Q50" s="129">
        <v>-410599.815</v>
      </c>
      <c r="R50" s="129">
        <v>-410599.815</v>
      </c>
    </row>
    <row r="51" spans="1:18">
      <c r="A51" s="43" t="s">
        <v>61</v>
      </c>
      <c r="B51" s="49" t="s">
        <v>163</v>
      </c>
      <c r="C51">
        <v>1900</v>
      </c>
      <c r="D51" t="s">
        <v>105</v>
      </c>
      <c r="E51" s="60">
        <v>570351.30000000005</v>
      </c>
      <c r="F51" s="60">
        <v>570351.30000000005</v>
      </c>
      <c r="G51" s="60">
        <v>570351.30000000005</v>
      </c>
      <c r="H51" s="60">
        <v>570351.30000000005</v>
      </c>
      <c r="I51" s="115">
        <v>472352.33999999997</v>
      </c>
      <c r="J51" s="27">
        <v>472352.33999999997</v>
      </c>
      <c r="K51" s="133">
        <v>472352.33999999997</v>
      </c>
      <c r="L51" s="133">
        <v>472352.33999999997</v>
      </c>
      <c r="M51" s="133">
        <v>382060.83</v>
      </c>
      <c r="N51" s="133">
        <v>382060.83</v>
      </c>
      <c r="O51" s="133">
        <v>382060.83</v>
      </c>
      <c r="P51" s="133">
        <v>382060.83</v>
      </c>
      <c r="Q51" s="133">
        <v>291769.32</v>
      </c>
      <c r="R51" s="133">
        <v>291769.32</v>
      </c>
    </row>
    <row r="52" spans="1:18">
      <c r="A52" s="65" t="s">
        <v>91</v>
      </c>
      <c r="E52" s="62">
        <f t="shared" ref="E52:R52" si="0">SUM(E10:E51)</f>
        <v>11004722.650000002</v>
      </c>
      <c r="F52" s="62">
        <f t="shared" si="0"/>
        <v>7349280.4700000007</v>
      </c>
      <c r="G52" s="62">
        <f t="shared" si="0"/>
        <v>9571846.4575999994</v>
      </c>
      <c r="H52" s="62">
        <f t="shared" si="0"/>
        <v>13384735.8204</v>
      </c>
      <c r="I52" s="116">
        <f t="shared" si="0"/>
        <v>6799394.4249999989</v>
      </c>
      <c r="J52" s="62">
        <f t="shared" si="0"/>
        <v>6469612.9199999999</v>
      </c>
      <c r="K52" s="62">
        <f t="shared" si="0"/>
        <v>10100120.243013997</v>
      </c>
      <c r="L52" s="62">
        <f t="shared" si="0"/>
        <v>6523294.9800914954</v>
      </c>
      <c r="M52" s="62">
        <f t="shared" si="0"/>
        <v>5661904.0899999999</v>
      </c>
      <c r="N52" s="62">
        <f t="shared" si="0"/>
        <v>6440227.37576875</v>
      </c>
      <c r="O52" s="62">
        <f t="shared" si="0"/>
        <v>3004436.883537503</v>
      </c>
      <c r="P52" s="62">
        <f t="shared" si="0"/>
        <v>5787908.5893724998</v>
      </c>
      <c r="Q52" s="62">
        <f t="shared" si="0"/>
        <v>5509097.2050000001</v>
      </c>
      <c r="R52" s="62">
        <f t="shared" si="0"/>
        <v>1615494.3826006255</v>
      </c>
    </row>
    <row r="53" spans="1:18">
      <c r="A53" s="43"/>
      <c r="B53" s="49"/>
      <c r="E53" s="53"/>
      <c r="F53" s="53"/>
      <c r="G53" s="53"/>
      <c r="H53" s="53"/>
      <c r="I53" s="114"/>
      <c r="J53" s="58"/>
    </row>
    <row r="54" spans="1:18">
      <c r="A54" s="43" t="s">
        <v>28</v>
      </c>
      <c r="B54" s="49" t="s">
        <v>29</v>
      </c>
      <c r="C54">
        <v>2820</v>
      </c>
      <c r="D54" t="s">
        <v>106</v>
      </c>
      <c r="E54" s="53">
        <v>-3074020.31</v>
      </c>
      <c r="F54" s="53">
        <v>-5742850.29</v>
      </c>
      <c r="G54" s="53">
        <v>-5773672.4000000004</v>
      </c>
      <c r="H54" s="53">
        <v>-7084209.4399999985</v>
      </c>
      <c r="I54" s="114">
        <v>-2575535.2650000001</v>
      </c>
      <c r="J54" s="54">
        <v>-4872655.3960565459</v>
      </c>
      <c r="K54" s="129">
        <v>-6784244.4596130922</v>
      </c>
      <c r="L54" s="129">
        <v>27800708.316102952</v>
      </c>
      <c r="M54" s="129">
        <v>-1527770.28</v>
      </c>
      <c r="N54" s="129">
        <v>-4323142.7637499999</v>
      </c>
      <c r="O54" s="129">
        <v>-6245450.7599999998</v>
      </c>
      <c r="P54" s="129">
        <v>-10670154.682499997</v>
      </c>
      <c r="Q54" s="129">
        <v>-1014106.145</v>
      </c>
      <c r="R54" s="129">
        <v>-4791488.3162500001</v>
      </c>
    </row>
    <row r="55" spans="1:18">
      <c r="A55" s="43" t="s">
        <v>30</v>
      </c>
      <c r="B55" s="49" t="s">
        <v>31</v>
      </c>
      <c r="C55">
        <v>2820</v>
      </c>
      <c r="D55" t="s">
        <v>106</v>
      </c>
      <c r="E55" s="53">
        <v>1135790.1100000001</v>
      </c>
      <c r="F55" s="53">
        <f>-1009290.24144034-1</f>
        <v>-1009291.2414403399</v>
      </c>
      <c r="G55" s="53">
        <v>-4131633.5684064794</v>
      </c>
      <c r="H55" s="53">
        <v>-6866789.8925516186</v>
      </c>
      <c r="I55" s="114">
        <f>911263.745+1064392</f>
        <v>1975655.7450000001</v>
      </c>
      <c r="J55" s="54">
        <f>-1003053.15508153+3</f>
        <v>-1003050.15508153</v>
      </c>
      <c r="K55" s="129">
        <v>-2723850.0151651539</v>
      </c>
      <c r="L55" s="129">
        <v>-2324540.3495874973</v>
      </c>
      <c r="M55" s="129">
        <v>463583.21499999997</v>
      </c>
      <c r="N55" s="129">
        <v>1010437.6468000001</v>
      </c>
      <c r="O55" s="129">
        <v>1634706.6842499957</v>
      </c>
      <c r="P55" s="129">
        <v>2283405.4865124924</v>
      </c>
      <c r="Q55" s="129">
        <v>-178835.76499999998</v>
      </c>
      <c r="R55" s="129">
        <v>210627.01098842852</v>
      </c>
    </row>
    <row r="56" spans="1:18">
      <c r="A56" s="43" t="s">
        <v>26</v>
      </c>
      <c r="B56" s="49" t="s">
        <v>27</v>
      </c>
      <c r="C56">
        <v>2820</v>
      </c>
      <c r="D56" t="s">
        <v>106</v>
      </c>
      <c r="E56" s="138">
        <v>12540.78</v>
      </c>
      <c r="F56" s="138">
        <v>12540.78</v>
      </c>
      <c r="G56" s="138">
        <v>12540.78</v>
      </c>
      <c r="H56" s="138">
        <v>12540.78</v>
      </c>
      <c r="I56" s="139">
        <v>13667.789999999999</v>
      </c>
      <c r="J56" s="137">
        <v>13667.789999999999</v>
      </c>
      <c r="K56" s="131">
        <v>-855713.2</v>
      </c>
      <c r="L56" s="131">
        <v>18248.904999999999</v>
      </c>
      <c r="M56" s="131">
        <v>37001.51</v>
      </c>
      <c r="N56" s="131">
        <v>37001.51</v>
      </c>
      <c r="O56" s="131">
        <v>37001.51</v>
      </c>
      <c r="P56" s="131">
        <v>50817.49</v>
      </c>
      <c r="Q56" s="131">
        <v>111877.61</v>
      </c>
      <c r="R56" s="131">
        <v>111877.61</v>
      </c>
    </row>
    <row r="57" spans="1:18">
      <c r="A57" s="35" t="s">
        <v>193</v>
      </c>
      <c r="B57" s="39" t="s">
        <v>194</v>
      </c>
      <c r="C57" s="17">
        <v>2820</v>
      </c>
      <c r="D57" s="108" t="s">
        <v>106</v>
      </c>
      <c r="E57" s="60"/>
      <c r="F57" s="60"/>
      <c r="G57" s="60"/>
      <c r="H57" s="60"/>
      <c r="I57" s="115"/>
      <c r="J57" s="27"/>
      <c r="K57" s="133">
        <v>0</v>
      </c>
      <c r="L57" s="133">
        <v>-2343.2999999999997</v>
      </c>
      <c r="M57" s="133">
        <v>-2343.2999999999997</v>
      </c>
      <c r="N57" s="133">
        <v>-2343.2999999999997</v>
      </c>
      <c r="O57" s="133">
        <v>-2343.2999999999997</v>
      </c>
      <c r="P57" s="133">
        <v>-3042.2750000000001</v>
      </c>
      <c r="Q57" s="140">
        <v>-2381.9899999999998</v>
      </c>
      <c r="R57" s="140">
        <v>-2381.9899999999998</v>
      </c>
    </row>
    <row r="58" spans="1:18">
      <c r="A58" s="63" t="s">
        <v>90</v>
      </c>
      <c r="B58" s="49"/>
      <c r="E58" s="53">
        <f>SUM(E54:E57)</f>
        <v>-1925689.42</v>
      </c>
      <c r="F58" s="53">
        <f t="shared" ref="F58:O58" si="1">SUM(F54:F57)</f>
        <v>-6739600.7514403397</v>
      </c>
      <c r="G58" s="53">
        <f t="shared" si="1"/>
        <v>-9892765.1884064805</v>
      </c>
      <c r="H58" s="53">
        <f t="shared" si="1"/>
        <v>-13938458.552551618</v>
      </c>
      <c r="I58" s="53">
        <f t="shared" si="1"/>
        <v>-586211.73</v>
      </c>
      <c r="J58" s="53">
        <f t="shared" si="1"/>
        <v>-5862037.761138076</v>
      </c>
      <c r="K58" s="53">
        <f t="shared" si="1"/>
        <v>-10363807.674778245</v>
      </c>
      <c r="L58" s="53">
        <f t="shared" si="1"/>
        <v>25492073.571515456</v>
      </c>
      <c r="M58" s="53">
        <f t="shared" si="1"/>
        <v>-1029528.855</v>
      </c>
      <c r="N58" s="53">
        <f t="shared" si="1"/>
        <v>-3278046.9069499997</v>
      </c>
      <c r="O58" s="53">
        <f t="shared" si="1"/>
        <v>-4576085.8657500045</v>
      </c>
      <c r="P58" s="53">
        <f>SUM(P54:P57)</f>
        <v>-8338973.9809875051</v>
      </c>
      <c r="Q58" s="53">
        <f t="shared" ref="Q58:R58" si="2">SUM(Q54:Q57)</f>
        <v>-1083446.2899999998</v>
      </c>
      <c r="R58" s="53">
        <f t="shared" si="2"/>
        <v>-4471365.6852615718</v>
      </c>
    </row>
    <row r="59" spans="1:18">
      <c r="A59" s="44"/>
      <c r="B59" s="45"/>
      <c r="E59" s="53"/>
      <c r="F59" s="53"/>
      <c r="G59" s="53"/>
      <c r="H59" s="53"/>
      <c r="I59" s="114"/>
      <c r="J59" s="54"/>
      <c r="K59" s="129"/>
      <c r="L59" s="129"/>
      <c r="M59" s="129"/>
      <c r="N59" s="129"/>
      <c r="O59" s="129"/>
      <c r="P59" s="129"/>
      <c r="Q59" s="129"/>
      <c r="R59" s="129"/>
    </row>
    <row r="60" spans="1:18">
      <c r="A60" s="61" t="s">
        <v>100</v>
      </c>
      <c r="B60" s="45"/>
      <c r="E60" s="53"/>
      <c r="F60" s="53"/>
      <c r="G60" s="53"/>
      <c r="H60" s="53"/>
      <c r="I60" s="114"/>
      <c r="J60" s="54"/>
      <c r="K60" s="129"/>
      <c r="L60" s="129"/>
      <c r="M60" s="129"/>
      <c r="N60" s="129"/>
      <c r="O60" s="129"/>
      <c r="P60" s="129"/>
      <c r="Q60" s="129"/>
      <c r="R60" s="129"/>
    </row>
    <row r="61" spans="1:18">
      <c r="A61" s="44" t="s">
        <v>67</v>
      </c>
      <c r="B61" s="50" t="s">
        <v>68</v>
      </c>
      <c r="C61" s="51">
        <v>1900</v>
      </c>
      <c r="D61" s="51" t="s">
        <v>105</v>
      </c>
      <c r="E61" s="53">
        <v>3142249</v>
      </c>
      <c r="F61" s="53">
        <v>3142249</v>
      </c>
      <c r="G61" s="53">
        <v>3142249</v>
      </c>
      <c r="H61" s="53">
        <v>3142249</v>
      </c>
      <c r="I61" s="114">
        <v>3806488</v>
      </c>
      <c r="J61" s="54">
        <v>3806488</v>
      </c>
      <c r="K61" s="129">
        <v>3806488</v>
      </c>
      <c r="L61" s="129">
        <v>3605273</v>
      </c>
      <c r="M61" s="129">
        <v>2456254</v>
      </c>
      <c r="N61" s="129">
        <v>2456254</v>
      </c>
      <c r="O61" s="129">
        <v>2456254</v>
      </c>
      <c r="P61" s="129">
        <v>0</v>
      </c>
      <c r="Q61" s="129">
        <v>0</v>
      </c>
      <c r="R61" s="129">
        <v>0</v>
      </c>
    </row>
    <row r="62" spans="1:18">
      <c r="A62" s="44" t="s">
        <v>69</v>
      </c>
      <c r="B62" s="50" t="s">
        <v>70</v>
      </c>
      <c r="C62" s="51">
        <v>2820</v>
      </c>
      <c r="D62" s="51" t="s">
        <v>106</v>
      </c>
      <c r="E62" s="53">
        <v>5784289</v>
      </c>
      <c r="F62" s="53">
        <v>5784289</v>
      </c>
      <c r="G62" s="53">
        <v>5784289</v>
      </c>
      <c r="H62" s="53">
        <v>5784289</v>
      </c>
      <c r="I62" s="114">
        <v>6418669</v>
      </c>
      <c r="J62" s="54">
        <v>6418669</v>
      </c>
      <c r="K62" s="129">
        <v>6418669</v>
      </c>
      <c r="L62" s="129">
        <v>6041283</v>
      </c>
      <c r="M62" s="129">
        <v>7260312</v>
      </c>
      <c r="N62" s="129">
        <v>7260312</v>
      </c>
      <c r="O62" s="129">
        <v>7260312</v>
      </c>
      <c r="P62" s="129">
        <v>7260312</v>
      </c>
      <c r="Q62" s="129">
        <v>6888262</v>
      </c>
      <c r="R62" s="129">
        <v>6888262</v>
      </c>
    </row>
    <row r="63" spans="1:18">
      <c r="A63" s="44" t="s">
        <v>72</v>
      </c>
      <c r="B63" s="50" t="s">
        <v>73</v>
      </c>
      <c r="C63" s="51">
        <v>2820</v>
      </c>
      <c r="D63" s="51" t="s">
        <v>106</v>
      </c>
      <c r="E63" s="53">
        <v>-2024502</v>
      </c>
      <c r="F63" s="53">
        <v>-2024502</v>
      </c>
      <c r="G63" s="53">
        <v>-2024502</v>
      </c>
      <c r="H63" s="53">
        <v>-2024502</v>
      </c>
      <c r="I63" s="114">
        <v>-2246535</v>
      </c>
      <c r="J63" s="54">
        <v>-2246535</v>
      </c>
      <c r="K63" s="129">
        <v>-2246535</v>
      </c>
      <c r="L63" s="129">
        <v>-2114449</v>
      </c>
      <c r="M63" s="129">
        <v>-2541109</v>
      </c>
      <c r="N63" s="129">
        <v>-2541109</v>
      </c>
      <c r="O63" s="129">
        <v>-2541109</v>
      </c>
      <c r="P63" s="129">
        <v>-2541109</v>
      </c>
      <c r="Q63" s="129">
        <v>-2410892</v>
      </c>
      <c r="R63" s="129">
        <v>-2410892</v>
      </c>
    </row>
    <row r="64" spans="1:18">
      <c r="A64" s="44" t="s">
        <v>74</v>
      </c>
      <c r="B64" s="50" t="s">
        <v>75</v>
      </c>
      <c r="C64" s="51">
        <v>1900</v>
      </c>
      <c r="D64" s="51" t="s">
        <v>105</v>
      </c>
      <c r="E64" s="60">
        <v>-1099787</v>
      </c>
      <c r="F64" s="60">
        <v>-1099787</v>
      </c>
      <c r="G64" s="60">
        <v>-1099787</v>
      </c>
      <c r="H64" s="60">
        <v>-1099787</v>
      </c>
      <c r="I64" s="115">
        <v>-1375810</v>
      </c>
      <c r="J64" s="27">
        <v>-1375810</v>
      </c>
      <c r="K64" s="133">
        <v>-1375810</v>
      </c>
      <c r="L64" s="133">
        <v>-1286119</v>
      </c>
      <c r="M64" s="133">
        <v>-859689</v>
      </c>
      <c r="N64" s="133">
        <v>-859689</v>
      </c>
      <c r="O64" s="133">
        <v>-859689</v>
      </c>
      <c r="P64" s="133">
        <v>0</v>
      </c>
      <c r="Q64" s="133">
        <v>0</v>
      </c>
      <c r="R64" s="133">
        <v>0</v>
      </c>
    </row>
    <row r="65" spans="1:18">
      <c r="A65" s="59" t="s">
        <v>92</v>
      </c>
      <c r="B65" s="50"/>
      <c r="E65" s="53">
        <f t="shared" ref="E65:R65" si="3">SUM(E61:E64)</f>
        <v>5802249</v>
      </c>
      <c r="F65" s="53">
        <f t="shared" si="3"/>
        <v>5802249</v>
      </c>
      <c r="G65" s="53">
        <f t="shared" si="3"/>
        <v>5802249</v>
      </c>
      <c r="H65" s="53">
        <f t="shared" si="3"/>
        <v>5802249</v>
      </c>
      <c r="I65" s="117">
        <f t="shared" si="3"/>
        <v>6602812</v>
      </c>
      <c r="J65" s="53">
        <f t="shared" si="3"/>
        <v>6602812</v>
      </c>
      <c r="K65" s="53">
        <f t="shared" si="3"/>
        <v>6602812</v>
      </c>
      <c r="L65" s="53">
        <f t="shared" si="3"/>
        <v>6245988</v>
      </c>
      <c r="M65" s="53">
        <f t="shared" si="3"/>
        <v>6315768</v>
      </c>
      <c r="N65" s="53">
        <f>SUM(N61:N64)</f>
        <v>6315768</v>
      </c>
      <c r="O65" s="53">
        <f t="shared" si="3"/>
        <v>6315768</v>
      </c>
      <c r="P65" s="53">
        <f t="shared" si="3"/>
        <v>4719203</v>
      </c>
      <c r="Q65" s="53">
        <f t="shared" si="3"/>
        <v>4477370</v>
      </c>
      <c r="R65" s="53">
        <f t="shared" si="3"/>
        <v>4477370</v>
      </c>
    </row>
    <row r="66" spans="1:18">
      <c r="A66" s="63"/>
      <c r="B66" s="50"/>
      <c r="E66" s="53"/>
      <c r="F66" s="53"/>
      <c r="G66" s="53"/>
      <c r="H66" s="53"/>
      <c r="I66" s="117"/>
      <c r="J66" s="53"/>
      <c r="K66" s="129"/>
      <c r="L66" s="129"/>
      <c r="M66" s="129"/>
      <c r="N66" s="129"/>
      <c r="O66" s="129"/>
      <c r="P66" s="129"/>
      <c r="Q66" s="129"/>
      <c r="R66" s="129"/>
    </row>
    <row r="67" spans="1:18">
      <c r="A67" s="64" t="s">
        <v>93</v>
      </c>
      <c r="B67" s="50"/>
      <c r="E67" s="53">
        <f t="shared" ref="E67:R67" si="4">E65+E58+E52</f>
        <v>14881282.230000002</v>
      </c>
      <c r="F67" s="53">
        <f t="shared" si="4"/>
        <v>6411928.7185596609</v>
      </c>
      <c r="G67" s="53">
        <f t="shared" si="4"/>
        <v>5481330.2691935189</v>
      </c>
      <c r="H67" s="53">
        <f t="shared" si="4"/>
        <v>5248526.2678483818</v>
      </c>
      <c r="I67" s="117">
        <f t="shared" si="4"/>
        <v>12815994.694999998</v>
      </c>
      <c r="J67" s="53">
        <f t="shared" si="4"/>
        <v>7210387.158861924</v>
      </c>
      <c r="K67" s="53">
        <f t="shared" si="4"/>
        <v>6339124.5682357512</v>
      </c>
      <c r="L67" s="53">
        <f t="shared" si="4"/>
        <v>38261356.551606953</v>
      </c>
      <c r="M67" s="53">
        <f t="shared" si="4"/>
        <v>10948143.234999999</v>
      </c>
      <c r="N67" s="53">
        <f>N65+N58+N52</f>
        <v>9477948.4688187502</v>
      </c>
      <c r="O67" s="53">
        <f t="shared" si="4"/>
        <v>4744119.0177874984</v>
      </c>
      <c r="P67" s="53">
        <f t="shared" si="4"/>
        <v>2168137.6083849948</v>
      </c>
      <c r="Q67" s="53">
        <f t="shared" si="4"/>
        <v>8903020.9149999991</v>
      </c>
      <c r="R67" s="53">
        <f t="shared" si="4"/>
        <v>1621498.6973390537</v>
      </c>
    </row>
    <row r="68" spans="1:18">
      <c r="E68" s="53"/>
      <c r="F68" s="53"/>
      <c r="G68" s="53"/>
      <c r="H68" s="53"/>
      <c r="I68" s="114"/>
      <c r="J68" s="58"/>
      <c r="K68" s="129"/>
      <c r="L68" s="129"/>
      <c r="M68" s="129"/>
      <c r="N68" s="129"/>
      <c r="O68" s="129"/>
      <c r="P68" s="129"/>
      <c r="Q68" s="129"/>
      <c r="R68" s="129"/>
    </row>
    <row r="69" spans="1:18" ht="15.75">
      <c r="A69" s="20" t="s">
        <v>103</v>
      </c>
      <c r="B69" s="21"/>
      <c r="C69" s="19">
        <v>1900</v>
      </c>
      <c r="E69" s="101">
        <f t="shared" ref="E69:R71" ca="1" si="5">SUMIF($C$10:$J$67,$C69,E$10:E$67)</f>
        <v>15281147.710000001</v>
      </c>
      <c r="F69" s="101">
        <f t="shared" ca="1" si="5"/>
        <v>15281147.710000001</v>
      </c>
      <c r="G69" s="101">
        <f t="shared" ca="1" si="5"/>
        <v>15281147.710000001</v>
      </c>
      <c r="H69" s="101">
        <f t="shared" ca="1" si="5"/>
        <v>15281147.710000001</v>
      </c>
      <c r="I69" s="101">
        <f t="shared" ca="1" si="5"/>
        <v>12114073.074999999</v>
      </c>
      <c r="J69" s="101">
        <f t="shared" ca="1" si="5"/>
        <v>12114073.074999999</v>
      </c>
      <c r="K69" s="101">
        <f t="shared" ca="1" si="5"/>
        <v>13048886.670899997</v>
      </c>
      <c r="L69" s="101">
        <f t="shared" ca="1" si="5"/>
        <v>11208814.199849997</v>
      </c>
      <c r="M69" s="101">
        <f t="shared" ca="1" si="5"/>
        <v>9049867.1900000013</v>
      </c>
      <c r="N69" s="101">
        <f t="shared" ca="1" si="5"/>
        <v>8789145.6314000003</v>
      </c>
      <c r="O69" s="101">
        <f t="shared" ca="1" si="5"/>
        <v>8815140.2707500048</v>
      </c>
      <c r="P69" s="101">
        <f t="shared" ca="1" si="5"/>
        <v>7001736.9978500009</v>
      </c>
      <c r="Q69" s="101">
        <f t="shared" ca="1" si="5"/>
        <v>7277330.2149999999</v>
      </c>
      <c r="R69" s="101">
        <f t="shared" ca="1" si="5"/>
        <v>7125975.7306999993</v>
      </c>
    </row>
    <row r="70" spans="1:18" ht="15.75">
      <c r="A70" s="20" t="s">
        <v>97</v>
      </c>
      <c r="B70" s="21"/>
      <c r="C70" s="19">
        <v>2820</v>
      </c>
      <c r="E70" s="102">
        <f t="shared" ca="1" si="5"/>
        <v>1834097.58</v>
      </c>
      <c r="F70" s="102">
        <f t="shared" ca="1" si="5"/>
        <v>-6635255.9314403404</v>
      </c>
      <c r="G70" s="102">
        <f t="shared" ca="1" si="5"/>
        <v>-7565854.3808064815</v>
      </c>
      <c r="H70" s="102">
        <f t="shared" ca="1" si="5"/>
        <v>-7798658.3821516205</v>
      </c>
      <c r="I70" s="87">
        <f t="shared" ca="1" si="5"/>
        <v>3585922.2699999996</v>
      </c>
      <c r="J70" s="102">
        <f t="shared" ca="1" si="5"/>
        <v>-2019685.2661380749</v>
      </c>
      <c r="K70" s="102">
        <f t="shared" ca="1" si="5"/>
        <v>-4716784.7226642463</v>
      </c>
      <c r="L70" s="102">
        <f t="shared" ca="1" si="5"/>
        <v>28921197.811756954</v>
      </c>
      <c r="M70" s="102">
        <f t="shared" ca="1" si="5"/>
        <v>3690632.6349999998</v>
      </c>
      <c r="N70" s="102">
        <f t="shared" ca="1" si="5"/>
        <v>2283226.1324187499</v>
      </c>
      <c r="O70" s="102">
        <f t="shared" ca="1" si="5"/>
        <v>-1881989.9629625054</v>
      </c>
      <c r="P70" s="102">
        <f t="shared" ca="1" si="5"/>
        <v>-3016469.1544650057</v>
      </c>
      <c r="Q70" s="102">
        <f t="shared" ca="1" si="5"/>
        <v>3393923.71</v>
      </c>
      <c r="R70" s="102">
        <f t="shared" ca="1" si="5"/>
        <v>-4995394.8346109465</v>
      </c>
    </row>
    <row r="71" spans="1:18" ht="15.75">
      <c r="A71" s="20" t="s">
        <v>104</v>
      </c>
      <c r="B71" s="21"/>
      <c r="C71" s="19">
        <v>2830</v>
      </c>
      <c r="E71" s="113">
        <f t="shared" ca="1" si="5"/>
        <v>-2233963.06</v>
      </c>
      <c r="F71" s="113">
        <f t="shared" ca="1" si="5"/>
        <v>-2233963.06</v>
      </c>
      <c r="G71" s="113">
        <f t="shared" ca="1" si="5"/>
        <v>-2233963.06</v>
      </c>
      <c r="H71" s="113">
        <f t="shared" ca="1" si="5"/>
        <v>-2233963.06</v>
      </c>
      <c r="I71" s="141">
        <f t="shared" ca="1" si="5"/>
        <v>-2884000.65</v>
      </c>
      <c r="J71" s="113">
        <f t="shared" ca="1" si="5"/>
        <v>-2884000.65</v>
      </c>
      <c r="K71" s="113">
        <f t="shared" ca="1" si="5"/>
        <v>-1992977.3799999997</v>
      </c>
      <c r="L71" s="113">
        <f t="shared" ca="1" si="5"/>
        <v>-1868655.46</v>
      </c>
      <c r="M71" s="113">
        <f t="shared" ca="1" si="5"/>
        <v>-1792356.5899999999</v>
      </c>
      <c r="N71" s="113">
        <f t="shared" ca="1" si="5"/>
        <v>-1594423.2949999999</v>
      </c>
      <c r="O71" s="113">
        <f t="shared" ca="1" si="5"/>
        <v>-2189031.29</v>
      </c>
      <c r="P71" s="113">
        <f t="shared" ca="1" si="5"/>
        <v>-1817130.2349999999</v>
      </c>
      <c r="Q71" s="113">
        <f t="shared" ca="1" si="5"/>
        <v>-1768233.0099999998</v>
      </c>
      <c r="R71" s="113">
        <f t="shared" ca="1" si="5"/>
        <v>-509082.19875000004</v>
      </c>
    </row>
    <row r="72" spans="1:18" ht="15.75">
      <c r="A72" s="20" t="s">
        <v>99</v>
      </c>
      <c r="B72" s="21"/>
      <c r="C72" s="19"/>
      <c r="E72" s="53">
        <f ca="1">SUM(E69:E71)</f>
        <v>14881282.229999999</v>
      </c>
      <c r="F72" s="53">
        <f t="shared" ref="F72:R72" ca="1" si="6">SUM(F69:F71)</f>
        <v>6411928.71855966</v>
      </c>
      <c r="G72" s="53">
        <f t="shared" ca="1" si="6"/>
        <v>5481330.2691935189</v>
      </c>
      <c r="H72" s="53">
        <f t="shared" ca="1" si="6"/>
        <v>5248526.2678483799</v>
      </c>
      <c r="I72" s="53">
        <f t="shared" ca="1" si="6"/>
        <v>12815994.694999998</v>
      </c>
      <c r="J72" s="53">
        <f t="shared" ca="1" si="6"/>
        <v>7210387.158861924</v>
      </c>
      <c r="K72" s="53">
        <f t="shared" ca="1" si="6"/>
        <v>6339124.5682357503</v>
      </c>
      <c r="L72" s="53">
        <f t="shared" ca="1" si="6"/>
        <v>38261356.551606946</v>
      </c>
      <c r="M72" s="53">
        <f t="shared" ca="1" si="6"/>
        <v>10948143.235000001</v>
      </c>
      <c r="N72" s="53">
        <f ca="1">SUM(N69:N71)</f>
        <v>9477948.4688187502</v>
      </c>
      <c r="O72" s="53">
        <f t="shared" ca="1" si="6"/>
        <v>4744119.0177874994</v>
      </c>
      <c r="P72" s="53">
        <f t="shared" ca="1" si="6"/>
        <v>2168137.6083849953</v>
      </c>
      <c r="Q72" s="53">
        <f t="shared" ca="1" si="6"/>
        <v>8903020.915000001</v>
      </c>
      <c r="R72" s="53">
        <f t="shared" ca="1" si="6"/>
        <v>1621498.6973390528</v>
      </c>
    </row>
    <row r="73" spans="1:18">
      <c r="A73" s="42"/>
      <c r="B73" s="42"/>
      <c r="C73" s="42"/>
      <c r="E73" s="53"/>
      <c r="F73" s="53"/>
      <c r="G73" s="53"/>
      <c r="H73" s="53"/>
      <c r="I73" s="118"/>
      <c r="J73" s="52"/>
      <c r="K73" s="129"/>
      <c r="L73" s="129"/>
      <c r="M73" s="129"/>
      <c r="N73" s="129"/>
      <c r="O73" s="129"/>
      <c r="P73" s="129"/>
      <c r="Q73" s="129"/>
      <c r="R73" s="129"/>
    </row>
    <row r="74" spans="1:18">
      <c r="A74" s="47" t="s">
        <v>83</v>
      </c>
      <c r="B74" s="47"/>
      <c r="C74" s="47"/>
      <c r="D74" t="s">
        <v>105</v>
      </c>
      <c r="E74" s="53">
        <v>11039952.15</v>
      </c>
      <c r="F74" s="53">
        <v>11039952.15</v>
      </c>
      <c r="G74" s="53">
        <v>11039952.15</v>
      </c>
      <c r="H74" s="53">
        <v>11039952.15</v>
      </c>
      <c r="I74" s="117">
        <v>8337174.5199999996</v>
      </c>
      <c r="J74" s="54">
        <v>8337174.5199999996</v>
      </c>
      <c r="K74" s="129">
        <v>8061151.5199999996</v>
      </c>
      <c r="L74" s="129">
        <v>7792826.75</v>
      </c>
      <c r="M74" s="129">
        <v>6984540.1399999997</v>
      </c>
      <c r="N74" s="129">
        <v>6984540.1399999997</v>
      </c>
      <c r="O74" s="129">
        <v>6984540.1399999997</v>
      </c>
      <c r="P74" s="129">
        <v>6937619.4500000002</v>
      </c>
      <c r="Q74" s="129">
        <v>6818758.7199999997</v>
      </c>
      <c r="R74" s="129">
        <v>6818758.7199999997</v>
      </c>
    </row>
    <row r="75" spans="1:18">
      <c r="A75" s="47" t="s">
        <v>84</v>
      </c>
      <c r="B75" s="47"/>
      <c r="C75" s="47"/>
      <c r="D75" t="s">
        <v>105</v>
      </c>
      <c r="E75" s="53">
        <v>4241195.5599999996</v>
      </c>
      <c r="F75" s="53">
        <v>4241195.5599999996</v>
      </c>
      <c r="G75" s="53">
        <v>4241195.5599999996</v>
      </c>
      <c r="H75" s="53">
        <v>4241195.5599999996</v>
      </c>
      <c r="I75" s="117">
        <v>3776898.35</v>
      </c>
      <c r="J75" s="54">
        <v>3776898.35</v>
      </c>
      <c r="K75" s="129">
        <v>4441137.3499999996</v>
      </c>
      <c r="L75" s="129">
        <v>4215845.37</v>
      </c>
      <c r="M75" s="129">
        <v>2925974.54</v>
      </c>
      <c r="N75" s="129">
        <v>2925974.54</v>
      </c>
      <c r="O75" s="129">
        <v>2925974.54</v>
      </c>
      <c r="P75" s="129">
        <v>466565.05</v>
      </c>
      <c r="Q75" s="129">
        <v>458571.49</v>
      </c>
      <c r="R75" s="129">
        <v>458571.49</v>
      </c>
    </row>
    <row r="76" spans="1:18">
      <c r="A76" s="47" t="s">
        <v>85</v>
      </c>
      <c r="B76" s="47"/>
      <c r="C76" s="47"/>
      <c r="D76" t="s">
        <v>106</v>
      </c>
      <c r="E76" s="53">
        <v>-3789890.79</v>
      </c>
      <c r="F76" s="53">
        <v>-11801441.140000001</v>
      </c>
      <c r="G76" s="53">
        <v>-12681736.810000001</v>
      </c>
      <c r="H76" s="53">
        <v>-12901957.630000001</v>
      </c>
      <c r="I76" s="117">
        <v>-2784132.7</v>
      </c>
      <c r="J76" s="54">
        <v>-8159373.4500000002</v>
      </c>
      <c r="K76" s="129">
        <v>-10010669.76</v>
      </c>
      <c r="L76" s="129">
        <v>21371959.420000002</v>
      </c>
      <c r="M76" s="129">
        <v>-1824343.09</v>
      </c>
      <c r="N76" s="129">
        <v>-3234118.89</v>
      </c>
      <c r="O76" s="129">
        <v>-7773407.4100000001</v>
      </c>
      <c r="P76" s="129">
        <v>-10338797.039999999</v>
      </c>
      <c r="Q76" s="129">
        <v>-3426066.33</v>
      </c>
      <c r="R76" s="129">
        <v>-10408347.91</v>
      </c>
    </row>
    <row r="77" spans="1:18">
      <c r="A77" s="47" t="s">
        <v>86</v>
      </c>
      <c r="B77" s="47"/>
      <c r="C77" s="47"/>
      <c r="D77" t="s">
        <v>106</v>
      </c>
      <c r="E77" s="53">
        <v>5623988.3700000001</v>
      </c>
      <c r="F77" s="53">
        <v>5166185.49</v>
      </c>
      <c r="G77" s="53">
        <v>5115882.88</v>
      </c>
      <c r="H77" s="53">
        <v>5103298.84</v>
      </c>
      <c r="I77" s="117">
        <v>6370055.3399999999</v>
      </c>
      <c r="J77" s="54">
        <v>6139687.8799999999</v>
      </c>
      <c r="K77" s="129">
        <v>6055331.1799999997</v>
      </c>
      <c r="L77" s="129">
        <v>7012851.5</v>
      </c>
      <c r="M77" s="129">
        <v>7195437.5999999996</v>
      </c>
      <c r="N77" s="129">
        <v>7135018.6399999997</v>
      </c>
      <c r="O77" s="129">
        <v>6940477.7000000002</v>
      </c>
      <c r="P77" s="129">
        <v>6895106.7300000004</v>
      </c>
      <c r="Q77" s="129">
        <v>6819990.04</v>
      </c>
      <c r="R77" s="129">
        <v>6520749.4000000004</v>
      </c>
    </row>
    <row r="78" spans="1:18">
      <c r="A78" s="47" t="s">
        <v>87</v>
      </c>
      <c r="B78" s="47"/>
      <c r="C78" s="47"/>
      <c r="D78" t="s">
        <v>109</v>
      </c>
      <c r="E78" s="53">
        <v>-2048000.73</v>
      </c>
      <c r="F78" s="53">
        <v>-2048000.73</v>
      </c>
      <c r="G78" s="53">
        <v>-2048000.73</v>
      </c>
      <c r="H78" s="53">
        <v>-2048000.73</v>
      </c>
      <c r="I78" s="117">
        <v>-1771593.26</v>
      </c>
      <c r="J78" s="54">
        <v>-1771593.26</v>
      </c>
      <c r="K78" s="129">
        <v>-2068702.26</v>
      </c>
      <c r="L78" s="129">
        <v>-1997773.51</v>
      </c>
      <c r="M78" s="129">
        <v>-4220522.57</v>
      </c>
      <c r="N78" s="129">
        <v>-4220522.57</v>
      </c>
      <c r="O78" s="129">
        <v>-4220522.57</v>
      </c>
      <c r="P78" s="129">
        <v>-1679413.57</v>
      </c>
      <c r="Q78" s="129">
        <v>-1656810.11</v>
      </c>
      <c r="R78" s="129">
        <v>-1656810.11</v>
      </c>
    </row>
    <row r="79" spans="1:18">
      <c r="A79" s="47" t="s">
        <v>88</v>
      </c>
      <c r="B79" s="47"/>
      <c r="C79" s="47"/>
      <c r="D79" t="s">
        <v>109</v>
      </c>
      <c r="E79" s="53">
        <v>-185962.33</v>
      </c>
      <c r="F79" s="53">
        <v>-185962.33</v>
      </c>
      <c r="G79" s="53">
        <v>-185962.33</v>
      </c>
      <c r="H79" s="53">
        <v>-185962.33</v>
      </c>
      <c r="I79" s="117">
        <v>-1112407.25</v>
      </c>
      <c r="J79" s="54">
        <v>-1112407.25</v>
      </c>
      <c r="K79" s="129">
        <v>-139123.25</v>
      </c>
      <c r="L79" s="129">
        <v>-134353.19</v>
      </c>
      <c r="M79" s="129">
        <v>-112943.02</v>
      </c>
      <c r="N79" s="129">
        <v>-112943.02</v>
      </c>
      <c r="O79" s="129">
        <v>-112943.02</v>
      </c>
      <c r="P79" s="129">
        <v>-112943.02</v>
      </c>
      <c r="Q79" s="129">
        <v>-111422.9</v>
      </c>
      <c r="R79" s="129">
        <v>-111422.9</v>
      </c>
    </row>
    <row r="80" spans="1:18">
      <c r="A80" s="46" t="s">
        <v>89</v>
      </c>
      <c r="B80" s="46"/>
      <c r="C80" s="46"/>
      <c r="E80" s="22">
        <f>SUM(E74:E79)</f>
        <v>14881282.230000002</v>
      </c>
      <c r="F80" s="22">
        <f t="shared" ref="F80:R80" si="7">SUM(F74:F79)</f>
        <v>6411929</v>
      </c>
      <c r="G80" s="22">
        <f t="shared" si="7"/>
        <v>5481330.7200000007</v>
      </c>
      <c r="H80" s="22">
        <f t="shared" si="7"/>
        <v>5248525.8599999994</v>
      </c>
      <c r="I80" s="22">
        <f t="shared" si="7"/>
        <v>12815994.999999998</v>
      </c>
      <c r="J80" s="22">
        <f t="shared" si="7"/>
        <v>7210386.7899999991</v>
      </c>
      <c r="K80" s="22">
        <f t="shared" si="7"/>
        <v>6339124.7799999993</v>
      </c>
      <c r="L80" s="22">
        <f t="shared" si="7"/>
        <v>38261356.340000011</v>
      </c>
      <c r="M80" s="22">
        <f t="shared" si="7"/>
        <v>10948143.6</v>
      </c>
      <c r="N80" s="22">
        <f t="shared" si="7"/>
        <v>9477948.8399999999</v>
      </c>
      <c r="O80" s="22">
        <f t="shared" si="7"/>
        <v>4744119.379999999</v>
      </c>
      <c r="P80" s="22">
        <f t="shared" si="7"/>
        <v>2168137.600000001</v>
      </c>
      <c r="Q80" s="22">
        <f t="shared" si="7"/>
        <v>8903020.9100000001</v>
      </c>
      <c r="R80" s="22">
        <f t="shared" si="7"/>
        <v>1621498.6900000002</v>
      </c>
    </row>
    <row r="81" spans="1:18">
      <c r="A81" s="42"/>
      <c r="B81" s="42"/>
      <c r="C81" s="42"/>
    </row>
    <row r="82" spans="1:18">
      <c r="J82" s="74">
        <f ca="1">J80-J72</f>
        <v>-0.36886192485690117</v>
      </c>
      <c r="K82" s="74">
        <f t="shared" ref="K82:R82" ca="1" si="8">K80-K72</f>
        <v>0.21176424901932478</v>
      </c>
      <c r="L82" s="74">
        <f t="shared" ca="1" si="8"/>
        <v>-0.21160693466663361</v>
      </c>
      <c r="M82" s="74">
        <f t="shared" ca="1" si="8"/>
        <v>0.36499999836087227</v>
      </c>
      <c r="N82" s="74">
        <f t="shared" ca="1" si="8"/>
        <v>0.37118124961853027</v>
      </c>
      <c r="O82" s="74">
        <f t="shared" ca="1" si="8"/>
        <v>0.36221249960362911</v>
      </c>
      <c r="P82" s="74">
        <f t="shared" ca="1" si="8"/>
        <v>-8.3849942311644554E-3</v>
      </c>
      <c r="Q82" s="74">
        <f t="shared" ca="1" si="8"/>
        <v>-5.0000008195638657E-3</v>
      </c>
      <c r="R82" s="74">
        <f t="shared" ca="1" si="8"/>
        <v>-7.3390526231378317E-3</v>
      </c>
    </row>
  </sheetData>
  <printOptions horizontalCentered="1"/>
  <pageMargins left="0.7" right="0.7" top="0.75" bottom="0.5" header="0.25" footer="0.25"/>
  <pageSetup scale="42" orientation="landscape" r:id="rId1"/>
  <headerFooter>
    <oddHeader>&amp;R&amp;12CASE NO. 2015-00343
ATTACHMENT 1
TO STAFF DR  NO. 1-47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zoomScaleNormal="100" workbookViewId="0"/>
  </sheetViews>
  <sheetFormatPr defaultRowHeight="15"/>
  <cols>
    <col min="1" max="1" width="13.5703125" customWidth="1"/>
    <col min="2" max="2" width="7.85546875" bestFit="1" customWidth="1"/>
    <col min="3" max="4" width="10.5703125" bestFit="1" customWidth="1"/>
    <col min="5" max="5" width="12.28515625" bestFit="1" customWidth="1"/>
    <col min="6" max="6" width="10.5703125" bestFit="1" customWidth="1"/>
    <col min="7" max="7" width="9" bestFit="1" customWidth="1"/>
    <col min="8" max="8" width="11.7109375" customWidth="1"/>
    <col min="9" max="10" width="9" bestFit="1" customWidth="1"/>
    <col min="11" max="11" width="13" customWidth="1"/>
    <col min="12" max="12" width="9.7109375" bestFit="1" customWidth="1"/>
    <col min="13" max="13" width="10.5703125" bestFit="1" customWidth="1"/>
    <col min="14" max="14" width="11.5703125" bestFit="1" customWidth="1"/>
    <col min="15" max="15" width="13" customWidth="1"/>
  </cols>
  <sheetData>
    <row r="1" spans="1:16">
      <c r="A1" s="94" t="s">
        <v>185</v>
      </c>
      <c r="B1" s="89"/>
    </row>
    <row r="2" spans="1:16">
      <c r="A2" s="90"/>
      <c r="B2" s="89"/>
    </row>
    <row r="3" spans="1:16" ht="15.75">
      <c r="A3" s="90" t="s">
        <v>0</v>
      </c>
      <c r="B3" s="88"/>
    </row>
    <row r="4" spans="1:16" ht="15.75">
      <c r="A4" s="90" t="s">
        <v>111</v>
      </c>
      <c r="B4" s="88"/>
    </row>
    <row r="5" spans="1:16" ht="15.75">
      <c r="A5" s="90" t="s">
        <v>189</v>
      </c>
      <c r="B5" s="88"/>
    </row>
    <row r="7" spans="1:16">
      <c r="A7" s="93" t="s">
        <v>5</v>
      </c>
      <c r="B7" s="92" t="s">
        <v>112</v>
      </c>
      <c r="P7" s="84"/>
    </row>
    <row r="8" spans="1:16">
      <c r="A8" s="91"/>
      <c r="B8" s="91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</row>
    <row r="9" spans="1:16">
      <c r="A9" s="96" t="s">
        <v>113</v>
      </c>
      <c r="B9" s="96" t="s">
        <v>114</v>
      </c>
      <c r="C9" s="72">
        <v>41640</v>
      </c>
      <c r="D9" s="72">
        <v>41671</v>
      </c>
      <c r="E9" s="72">
        <v>41699</v>
      </c>
      <c r="F9" s="72">
        <v>41730</v>
      </c>
      <c r="G9" s="72">
        <v>41760</v>
      </c>
      <c r="H9" s="72">
        <v>41791</v>
      </c>
      <c r="I9" s="72">
        <v>41821</v>
      </c>
      <c r="J9" s="72">
        <v>41852</v>
      </c>
      <c r="K9" s="72">
        <v>41883</v>
      </c>
      <c r="L9" s="72">
        <v>41913</v>
      </c>
      <c r="M9" s="72">
        <v>41944</v>
      </c>
      <c r="N9" s="72">
        <v>41974</v>
      </c>
      <c r="O9" s="72" t="s">
        <v>121</v>
      </c>
      <c r="P9" s="84"/>
    </row>
    <row r="10" spans="1:16">
      <c r="A10" s="95">
        <v>10</v>
      </c>
      <c r="B10" s="95" t="s">
        <v>115</v>
      </c>
      <c r="C10" s="132">
        <v>631266.76</v>
      </c>
      <c r="D10" s="132">
        <v>542735.21</v>
      </c>
      <c r="E10" s="132">
        <v>-37901640.18</v>
      </c>
      <c r="F10" s="132">
        <v>3110685.84</v>
      </c>
      <c r="G10" s="132">
        <v>213044.46</v>
      </c>
      <c r="H10" s="132">
        <v>31606173.370000001</v>
      </c>
      <c r="I10" s="132">
        <v>174897.58</v>
      </c>
      <c r="J10" s="132">
        <v>92920.58</v>
      </c>
      <c r="K10" s="132">
        <v>57834245.869999997</v>
      </c>
      <c r="L10" s="132">
        <v>82978.94</v>
      </c>
      <c r="M10" s="132">
        <v>466963.17</v>
      </c>
      <c r="N10" s="132">
        <v>22990078.149999999</v>
      </c>
      <c r="O10" s="87">
        <f>SUM(C10:N10)</f>
        <v>79844349.75</v>
      </c>
      <c r="P10" s="84"/>
    </row>
    <row r="11" spans="1:16">
      <c r="A11" s="95">
        <v>10</v>
      </c>
      <c r="B11" s="95" t="s">
        <v>116</v>
      </c>
      <c r="C11" s="99"/>
      <c r="D11" s="99"/>
      <c r="E11" s="99"/>
      <c r="F11" s="99"/>
      <c r="G11" s="99"/>
      <c r="H11" s="132">
        <v>257371.9</v>
      </c>
      <c r="I11" s="99"/>
      <c r="J11" s="99"/>
      <c r="K11" s="132">
        <v>-522812.47</v>
      </c>
      <c r="L11" s="99"/>
      <c r="M11" s="99"/>
      <c r="N11" s="99"/>
      <c r="O11" s="87">
        <f>SUM(C11:N11)</f>
        <v>-265440.56999999995</v>
      </c>
      <c r="P11" s="84"/>
    </row>
    <row r="12" spans="1:16">
      <c r="A12" s="121" t="s">
        <v>117</v>
      </c>
      <c r="B12" s="121"/>
      <c r="C12" s="122">
        <f>SUM(C10:C11)</f>
        <v>631266.76</v>
      </c>
      <c r="D12" s="122">
        <f t="shared" ref="D12:O12" si="0">SUM(D10:D11)</f>
        <v>542735.21</v>
      </c>
      <c r="E12" s="122">
        <f t="shared" si="0"/>
        <v>-37901640.18</v>
      </c>
      <c r="F12" s="122">
        <f t="shared" si="0"/>
        <v>3110685.84</v>
      </c>
      <c r="G12" s="122">
        <f t="shared" si="0"/>
        <v>213044.46</v>
      </c>
      <c r="H12" s="122">
        <f t="shared" si="0"/>
        <v>31863545.27</v>
      </c>
      <c r="I12" s="122">
        <f t="shared" si="0"/>
        <v>174897.58</v>
      </c>
      <c r="J12" s="122">
        <f t="shared" si="0"/>
        <v>92920.58</v>
      </c>
      <c r="K12" s="122">
        <f t="shared" si="0"/>
        <v>57311433.399999999</v>
      </c>
      <c r="L12" s="122">
        <f t="shared" si="0"/>
        <v>82978.94</v>
      </c>
      <c r="M12" s="122">
        <f t="shared" si="0"/>
        <v>466963.17</v>
      </c>
      <c r="N12" s="122">
        <f t="shared" si="0"/>
        <v>22990078.149999999</v>
      </c>
      <c r="O12" s="122">
        <f t="shared" si="0"/>
        <v>79578909.180000007</v>
      </c>
      <c r="P12" s="84"/>
    </row>
    <row r="13" spans="1:16">
      <c r="A13" s="95"/>
      <c r="B13" s="95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84"/>
    </row>
    <row r="14" spans="1:16">
      <c r="A14" s="95">
        <v>50</v>
      </c>
      <c r="B14" s="95" t="s">
        <v>118</v>
      </c>
      <c r="C14" s="99"/>
      <c r="D14" s="99"/>
      <c r="E14" s="99"/>
      <c r="F14" s="99"/>
      <c r="G14" s="99"/>
      <c r="H14" s="132">
        <v>-479462.07</v>
      </c>
      <c r="I14" s="99"/>
      <c r="J14" s="99"/>
      <c r="K14" s="132">
        <v>5347854.2</v>
      </c>
      <c r="L14" s="99"/>
      <c r="M14" s="99"/>
      <c r="N14" s="99"/>
      <c r="O14" s="87">
        <f>SUM(C14:N14)</f>
        <v>4868392.13</v>
      </c>
      <c r="P14" s="84"/>
    </row>
    <row r="15" spans="1:16">
      <c r="A15" s="95">
        <v>50</v>
      </c>
      <c r="B15" s="95" t="s">
        <v>119</v>
      </c>
      <c r="C15" s="132">
        <v>3381595.03</v>
      </c>
      <c r="D15" s="132">
        <v>2958002.4</v>
      </c>
      <c r="E15" s="132">
        <v>-2360079.59</v>
      </c>
      <c r="F15" s="132">
        <v>634413.34</v>
      </c>
      <c r="G15" s="132">
        <v>316153.65999999997</v>
      </c>
      <c r="H15" s="132">
        <v>1123954.1399999999</v>
      </c>
      <c r="I15" s="132">
        <v>271499.7</v>
      </c>
      <c r="J15" s="132">
        <v>200738.55</v>
      </c>
      <c r="K15" s="132">
        <v>-8417270.2699999996</v>
      </c>
      <c r="L15" s="132">
        <v>766653.69</v>
      </c>
      <c r="M15" s="132">
        <v>1734589.1</v>
      </c>
      <c r="N15" s="132">
        <v>-4252702.84</v>
      </c>
      <c r="O15" s="87">
        <f>SUM(C15:N15)</f>
        <v>-3642453.09</v>
      </c>
      <c r="P15" s="84"/>
    </row>
    <row r="16" spans="1:16">
      <c r="A16" s="97" t="s">
        <v>120</v>
      </c>
      <c r="B16" s="97"/>
      <c r="C16" s="100">
        <f>SUM(C14:C15)</f>
        <v>3381595.03</v>
      </c>
      <c r="D16" s="100">
        <f t="shared" ref="D16:O16" si="1">SUM(D14:D15)</f>
        <v>2958002.4</v>
      </c>
      <c r="E16" s="100">
        <f t="shared" si="1"/>
        <v>-2360079.59</v>
      </c>
      <c r="F16" s="100">
        <f t="shared" si="1"/>
        <v>634413.34</v>
      </c>
      <c r="G16" s="100">
        <f t="shared" si="1"/>
        <v>316153.65999999997</v>
      </c>
      <c r="H16" s="100">
        <f t="shared" si="1"/>
        <v>644492.06999999983</v>
      </c>
      <c r="I16" s="100">
        <f t="shared" si="1"/>
        <v>271499.7</v>
      </c>
      <c r="J16" s="100">
        <f t="shared" si="1"/>
        <v>200738.55</v>
      </c>
      <c r="K16" s="100">
        <f t="shared" si="1"/>
        <v>-3069416.0699999994</v>
      </c>
      <c r="L16" s="100">
        <f t="shared" si="1"/>
        <v>766653.69</v>
      </c>
      <c r="M16" s="100">
        <f t="shared" si="1"/>
        <v>1734589.1</v>
      </c>
      <c r="N16" s="100">
        <f t="shared" si="1"/>
        <v>-4252702.84</v>
      </c>
      <c r="O16" s="100">
        <f t="shared" si="1"/>
        <v>1225939.04</v>
      </c>
      <c r="P16" s="84"/>
    </row>
    <row r="17" spans="1:16">
      <c r="A17" s="119"/>
      <c r="B17" s="119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84"/>
    </row>
    <row r="18" spans="1:16" ht="15.75" thickBot="1">
      <c r="A18" s="98" t="s">
        <v>121</v>
      </c>
      <c r="B18" s="124"/>
      <c r="C18" s="125">
        <f>C16+C12</f>
        <v>4012861.79</v>
      </c>
      <c r="D18" s="125">
        <f t="shared" ref="D18:O18" si="2">D16+D12</f>
        <v>3500737.61</v>
      </c>
      <c r="E18" s="125">
        <f t="shared" si="2"/>
        <v>-40261719.769999996</v>
      </c>
      <c r="F18" s="125">
        <f t="shared" si="2"/>
        <v>3745099.1799999997</v>
      </c>
      <c r="G18" s="125">
        <f t="shared" si="2"/>
        <v>529198.12</v>
      </c>
      <c r="H18" s="125">
        <f t="shared" si="2"/>
        <v>32508037.34</v>
      </c>
      <c r="I18" s="125">
        <f t="shared" si="2"/>
        <v>446397.28</v>
      </c>
      <c r="J18" s="125">
        <f t="shared" si="2"/>
        <v>293659.13</v>
      </c>
      <c r="K18" s="125">
        <f t="shared" si="2"/>
        <v>54242017.329999998</v>
      </c>
      <c r="L18" s="125">
        <f t="shared" si="2"/>
        <v>849632.62999999989</v>
      </c>
      <c r="M18" s="125">
        <f t="shared" si="2"/>
        <v>2201552.27</v>
      </c>
      <c r="N18" s="125">
        <f t="shared" si="2"/>
        <v>18737375.309999999</v>
      </c>
      <c r="O18" s="125">
        <f t="shared" si="2"/>
        <v>80804848.220000014</v>
      </c>
    </row>
    <row r="19" spans="1:16" ht="15.75" thickTop="1"/>
  </sheetData>
  <printOptions horizontalCentered="1"/>
  <pageMargins left="0.7" right="0.7" top="0.75" bottom="0.5" header="0.25" footer="0.25"/>
  <pageSetup scale="75" orientation="landscape" r:id="rId1"/>
  <headerFooter>
    <oddHeader>&amp;R&amp;9CASE NO. 2015-00343
ATTACHMENT 1
TO STAFF DR  NO. 1-47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Q47(a) 1&amp;2 - C010</vt:lpstr>
      <vt:lpstr>Q47(a) 1&amp;2 - DIV009</vt:lpstr>
      <vt:lpstr>Q47(a) 1&amp;2 - DIV091</vt:lpstr>
      <vt:lpstr>Q47(a) 3 - 4091</vt:lpstr>
      <vt:lpstr>'Q47(a) 1&amp;2 - C010'!Print_Titles</vt:lpstr>
    </vt:vector>
  </TitlesOfParts>
  <Company>Atmos Energy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dirodrig</dc:creator>
  <cp:lastModifiedBy>Eric  Wilen</cp:lastModifiedBy>
  <cp:lastPrinted>2015-11-24T21:41:47Z</cp:lastPrinted>
  <dcterms:created xsi:type="dcterms:W3CDTF">2013-05-15T20:00:16Z</dcterms:created>
  <dcterms:modified xsi:type="dcterms:W3CDTF">2015-11-24T21:41:55Z</dcterms:modified>
</cp:coreProperties>
</file>