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 tabRatio="843"/>
  </bookViews>
  <sheets>
    <sheet name="Cover C" sheetId="1" r:id="rId1"/>
    <sheet name="C.1" sheetId="2" r:id="rId2"/>
    <sheet name="C.2" sheetId="3" r:id="rId3"/>
    <sheet name="C.2.1 B" sheetId="4" r:id="rId4"/>
    <sheet name="C.2.1 F" sheetId="5" r:id="rId5"/>
    <sheet name="C.2.2 B 09" sheetId="6" r:id="rId6"/>
    <sheet name="C.2.2 B 02" sheetId="7" r:id="rId7"/>
    <sheet name="C.2.2 B 12" sheetId="8" r:id="rId8"/>
    <sheet name="C.2.2 B 91" sheetId="9" r:id="rId9"/>
    <sheet name="C.2.2-F 09" sheetId="10" r:id="rId10"/>
    <sheet name="C.2.2-F 02" sheetId="11" r:id="rId11"/>
    <sheet name="C.2.2-F 12" sheetId="12" r:id="rId12"/>
    <sheet name="C.2.2-F 91" sheetId="13" r:id="rId13"/>
    <sheet name="C.2.3 B" sheetId="14" r:id="rId14"/>
    <sheet name="C.2.3 F" sheetId="15" r:id="rId1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C.1!$A$1:$J$31</definedName>
    <definedName name="_xlnm.Print_Area" localSheetId="2">C.2!$A$1:$O$34</definedName>
    <definedName name="_xlnm.Print_Area" localSheetId="3">'C.2.1 B'!$A$1:$D$181</definedName>
    <definedName name="_xlnm.Print_Area" localSheetId="4">'C.2.1 F'!$A$1:$E$178</definedName>
    <definedName name="_xlnm.Print_Area" localSheetId="6">'C.2.2 B 02'!$A$1:$P$43</definedName>
    <definedName name="_xlnm.Print_Area" localSheetId="5">'C.2.2 B 09'!$A$1:$P$113</definedName>
    <definedName name="_xlnm.Print_Area" localSheetId="7">'C.2.2 B 12'!$A$1:$P$37</definedName>
    <definedName name="_xlnm.Print_Area" localSheetId="8">'C.2.2 B 91'!$A$1:$P$57</definedName>
    <definedName name="_xlnm.Print_Area" localSheetId="10">'C.2.2-F 02'!$A$1:$P$41</definedName>
    <definedName name="_xlnm.Print_Area" localSheetId="9">'C.2.2-F 09'!$A$1:$P$112</definedName>
    <definedName name="_xlnm.Print_Area" localSheetId="11">'C.2.2-F 12'!$A$1:$P$37</definedName>
    <definedName name="_xlnm.Print_Area" localSheetId="12">'C.2.2-F 91'!$A$1:$P$55</definedName>
    <definedName name="_xlnm.Print_Area" localSheetId="13">'C.2.3 B'!$A$1:$O$67</definedName>
    <definedName name="_xlnm.Print_Area" localSheetId="14">'C.2.3 F'!$A$1:$O$68</definedName>
    <definedName name="_xlnm.Print_Area" localSheetId="0">'Cover C'!$A$1:$D$23</definedName>
    <definedName name="_xlnm.Print_Titles" localSheetId="3">'C.2.1 B'!$1:$12</definedName>
    <definedName name="_xlnm.Print_Titles" localSheetId="4">'C.2.1 F'!$1:$12</definedName>
    <definedName name="_xlnm.Print_Titles" localSheetId="6">'C.2.2 B 02'!$1:$11</definedName>
    <definedName name="_xlnm.Print_Titles" localSheetId="5">'C.2.2 B 09'!$1:$11</definedName>
    <definedName name="_xlnm.Print_Titles" localSheetId="7">'C.2.2 B 12'!$1:$11</definedName>
    <definedName name="_xlnm.Print_Titles" localSheetId="8">'C.2.2 B 91'!$1:$11</definedName>
    <definedName name="_xlnm.Print_Titles" localSheetId="10">'C.2.2-F 02'!$1:$11</definedName>
    <definedName name="_xlnm.Print_Titles" localSheetId="9">'C.2.2-F 09'!$1:$11</definedName>
    <definedName name="_xlnm.Print_Titles" localSheetId="11">'C.2.2-F 12'!$1:$11</definedName>
    <definedName name="_xlnm.Print_Titles" localSheetId="12">'C.2.2-F 91'!$1:$11</definedName>
    <definedName name="_xlnm.Print_Titles" localSheetId="13">'C.2.3 B'!$1:$10</definedName>
    <definedName name="_xlnm.Print_Titles" localSheetId="14">'C.2.3 F'!$1:$10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I66" i="15" l="1"/>
  <c r="L66" i="15"/>
  <c r="N65" i="15"/>
  <c r="M65" i="15"/>
  <c r="L65" i="15"/>
  <c r="K65" i="15"/>
  <c r="J65" i="15"/>
  <c r="I65" i="15"/>
  <c r="H65" i="15"/>
  <c r="G65" i="15"/>
  <c r="F65" i="15"/>
  <c r="E65" i="15"/>
  <c r="D65" i="15"/>
  <c r="C61" i="15"/>
  <c r="F60" i="15"/>
  <c r="G60" i="15" s="1"/>
  <c r="H60" i="15" s="1"/>
  <c r="I60" i="15" s="1"/>
  <c r="J60" i="15" s="1"/>
  <c r="K60" i="15" s="1"/>
  <c r="L60" i="15" s="1"/>
  <c r="M60" i="15" s="1"/>
  <c r="N60" i="15" s="1"/>
  <c r="E60" i="15"/>
  <c r="D60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N58" i="15"/>
  <c r="M58" i="15"/>
  <c r="L58" i="15"/>
  <c r="K58" i="15"/>
  <c r="J58" i="15"/>
  <c r="I58" i="15"/>
  <c r="H58" i="15"/>
  <c r="G58" i="15"/>
  <c r="F58" i="15"/>
  <c r="E58" i="15"/>
  <c r="D58" i="15"/>
  <c r="C58" i="15"/>
  <c r="O58" i="15" s="1"/>
  <c r="N57" i="15"/>
  <c r="M57" i="15"/>
  <c r="L57" i="15"/>
  <c r="K57" i="15"/>
  <c r="J57" i="15"/>
  <c r="I57" i="15"/>
  <c r="H57" i="15"/>
  <c r="G57" i="15"/>
  <c r="F57" i="15"/>
  <c r="E57" i="15"/>
  <c r="D57" i="15"/>
  <c r="C57" i="15"/>
  <c r="O57" i="15" s="1"/>
  <c r="N56" i="15"/>
  <c r="M56" i="15"/>
  <c r="L56" i="15"/>
  <c r="K56" i="15"/>
  <c r="J56" i="15"/>
  <c r="I56" i="15"/>
  <c r="H56" i="15"/>
  <c r="G56" i="15"/>
  <c r="F56" i="15"/>
  <c r="E56" i="15"/>
  <c r="D56" i="15"/>
  <c r="C56" i="15"/>
  <c r="N51" i="15"/>
  <c r="G51" i="15"/>
  <c r="D50" i="15"/>
  <c r="C48" i="15"/>
  <c r="J46" i="15"/>
  <c r="K46" i="15" s="1"/>
  <c r="L46" i="15" s="1"/>
  <c r="M46" i="15" s="1"/>
  <c r="N46" i="15" s="1"/>
  <c r="I46" i="15"/>
  <c r="F46" i="15"/>
  <c r="G46" i="15" s="1"/>
  <c r="H46" i="15" s="1"/>
  <c r="E46" i="15"/>
  <c r="D46" i="15"/>
  <c r="O46" i="15" s="1"/>
  <c r="N45" i="15"/>
  <c r="M45" i="15"/>
  <c r="L45" i="15"/>
  <c r="K45" i="15"/>
  <c r="J45" i="15"/>
  <c r="I45" i="15"/>
  <c r="H45" i="15"/>
  <c r="G45" i="15"/>
  <c r="G48" i="15" s="1"/>
  <c r="F45" i="15"/>
  <c r="E45" i="15"/>
  <c r="D45" i="15"/>
  <c r="C45" i="15"/>
  <c r="O45" i="15" s="1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N48" i="15" s="1"/>
  <c r="M43" i="15"/>
  <c r="M48" i="15" s="1"/>
  <c r="L43" i="15"/>
  <c r="K43" i="15"/>
  <c r="J43" i="15"/>
  <c r="J48" i="15" s="1"/>
  <c r="I43" i="15"/>
  <c r="I48" i="15" s="1"/>
  <c r="H43" i="15"/>
  <c r="G43" i="15"/>
  <c r="F43" i="15"/>
  <c r="F48" i="15" s="1"/>
  <c r="E43" i="15"/>
  <c r="E48" i="15" s="1"/>
  <c r="D43" i="15"/>
  <c r="C43" i="15"/>
  <c r="M38" i="15"/>
  <c r="L38" i="15"/>
  <c r="H38" i="15"/>
  <c r="E38" i="15"/>
  <c r="D38" i="15"/>
  <c r="K38" i="15"/>
  <c r="K37" i="15"/>
  <c r="D33" i="15"/>
  <c r="E33" i="15" s="1"/>
  <c r="F33" i="15" s="1"/>
  <c r="G33" i="15" s="1"/>
  <c r="H33" i="15" s="1"/>
  <c r="I33" i="15" s="1"/>
  <c r="J33" i="15" s="1"/>
  <c r="K33" i="15" s="1"/>
  <c r="L33" i="15" s="1"/>
  <c r="M33" i="15" s="1"/>
  <c r="N33" i="15" s="1"/>
  <c r="C33" i="15"/>
  <c r="C32" i="15"/>
  <c r="D32" i="15" s="1"/>
  <c r="E32" i="15" s="1"/>
  <c r="F32" i="15" s="1"/>
  <c r="G32" i="15" s="1"/>
  <c r="H32" i="15" s="1"/>
  <c r="I32" i="15" s="1"/>
  <c r="J32" i="15" s="1"/>
  <c r="K32" i="15" s="1"/>
  <c r="L32" i="15" s="1"/>
  <c r="O31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O29" i="15" s="1"/>
  <c r="N28" i="15"/>
  <c r="M28" i="15"/>
  <c r="L28" i="15"/>
  <c r="K28" i="15"/>
  <c r="J28" i="15"/>
  <c r="J35" i="15" s="1"/>
  <c r="I28" i="15"/>
  <c r="H28" i="15"/>
  <c r="G28" i="15"/>
  <c r="F28" i="15"/>
  <c r="F35" i="15" s="1"/>
  <c r="E28" i="15"/>
  <c r="D28" i="15"/>
  <c r="C28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O18" i="15" s="1"/>
  <c r="O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O16" i="15" s="1"/>
  <c r="N15" i="15"/>
  <c r="M15" i="15"/>
  <c r="L15" i="15"/>
  <c r="K15" i="15"/>
  <c r="J15" i="15"/>
  <c r="I15" i="15"/>
  <c r="H15" i="15"/>
  <c r="G15" i="15"/>
  <c r="F15" i="15"/>
  <c r="E15" i="15"/>
  <c r="D15" i="15"/>
  <c r="C15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O14" i="15" s="1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A8" i="15"/>
  <c r="A6" i="15"/>
  <c r="H72" i="14"/>
  <c r="E72" i="14"/>
  <c r="H71" i="14"/>
  <c r="F71" i="14"/>
  <c r="D71" i="14"/>
  <c r="G70" i="14"/>
  <c r="F70" i="14"/>
  <c r="D70" i="14"/>
  <c r="C70" i="14"/>
  <c r="I67" i="14"/>
  <c r="I72" i="14" s="1"/>
  <c r="H67" i="14"/>
  <c r="G67" i="14"/>
  <c r="F67" i="14"/>
  <c r="E67" i="14"/>
  <c r="D67" i="14"/>
  <c r="D72" i="14" s="1"/>
  <c r="C67" i="14"/>
  <c r="K65" i="14"/>
  <c r="L65" i="14" s="1"/>
  <c r="M65" i="14" s="1"/>
  <c r="N65" i="14" s="1"/>
  <c r="M64" i="14"/>
  <c r="N64" i="14" s="1"/>
  <c r="L64" i="14"/>
  <c r="K64" i="14"/>
  <c r="N62" i="14"/>
  <c r="M62" i="14"/>
  <c r="L62" i="14"/>
  <c r="K62" i="14"/>
  <c r="J62" i="14"/>
  <c r="J67" i="14" s="1"/>
  <c r="J72" i="14" s="1"/>
  <c r="I62" i="14"/>
  <c r="H62" i="14"/>
  <c r="G62" i="14"/>
  <c r="F62" i="14"/>
  <c r="E62" i="14"/>
  <c r="D62" i="14"/>
  <c r="C62" i="14"/>
  <c r="O62" i="14" s="1"/>
  <c r="O60" i="14"/>
  <c r="O59" i="14"/>
  <c r="O58" i="14"/>
  <c r="O57" i="14"/>
  <c r="O56" i="14"/>
  <c r="O55" i="14"/>
  <c r="I52" i="14"/>
  <c r="I71" i="14" s="1"/>
  <c r="H52" i="14"/>
  <c r="G52" i="14"/>
  <c r="F52" i="14"/>
  <c r="E52" i="14"/>
  <c r="D52" i="14"/>
  <c r="C52" i="14"/>
  <c r="N50" i="14"/>
  <c r="K50" i="14"/>
  <c r="L50" i="14" s="1"/>
  <c r="M50" i="14" s="1"/>
  <c r="K49" i="14"/>
  <c r="N47" i="14"/>
  <c r="M47" i="14"/>
  <c r="L47" i="14"/>
  <c r="K47" i="14"/>
  <c r="J47" i="14"/>
  <c r="I47" i="14"/>
  <c r="H47" i="14"/>
  <c r="G47" i="14"/>
  <c r="G71" i="14" s="1"/>
  <c r="F47" i="14"/>
  <c r="E47" i="14"/>
  <c r="D47" i="14"/>
  <c r="C47" i="14"/>
  <c r="O47" i="14" s="1"/>
  <c r="O45" i="14"/>
  <c r="O44" i="14"/>
  <c r="O43" i="14"/>
  <c r="O42" i="14"/>
  <c r="I39" i="14"/>
  <c r="I70" i="14" s="1"/>
  <c r="H39" i="14"/>
  <c r="H70" i="14" s="1"/>
  <c r="G39" i="14"/>
  <c r="F39" i="14"/>
  <c r="E39" i="14"/>
  <c r="E70" i="14" s="1"/>
  <c r="D39" i="14"/>
  <c r="C39" i="14"/>
  <c r="N37" i="14"/>
  <c r="K37" i="14"/>
  <c r="L37" i="14" s="1"/>
  <c r="M37" i="14" s="1"/>
  <c r="K36" i="14"/>
  <c r="L36" i="14" s="1"/>
  <c r="M36" i="14" s="1"/>
  <c r="N36" i="14" s="1"/>
  <c r="N34" i="14"/>
  <c r="M34" i="14"/>
  <c r="L34" i="14"/>
  <c r="K34" i="14"/>
  <c r="J34" i="14"/>
  <c r="J39" i="14" s="1"/>
  <c r="J21" i="14" s="1"/>
  <c r="I34" i="14"/>
  <c r="H34" i="14"/>
  <c r="G34" i="14"/>
  <c r="F34" i="14"/>
  <c r="E34" i="14"/>
  <c r="D34" i="14"/>
  <c r="C34" i="14"/>
  <c r="O32" i="14"/>
  <c r="O31" i="14"/>
  <c r="O30" i="14"/>
  <c r="O29" i="14"/>
  <c r="O28" i="14"/>
  <c r="O27" i="14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I24" i="14"/>
  <c r="H24" i="14"/>
  <c r="G24" i="14"/>
  <c r="F24" i="14"/>
  <c r="E24" i="14"/>
  <c r="D24" i="14"/>
  <c r="C24" i="14"/>
  <c r="O19" i="14"/>
  <c r="O18" i="14"/>
  <c r="O17" i="14"/>
  <c r="O16" i="14"/>
  <c r="I16" i="14"/>
  <c r="O15" i="14"/>
  <c r="O14" i="14"/>
  <c r="O13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O12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N9" i="14"/>
  <c r="M9" i="14"/>
  <c r="L9" i="14"/>
  <c r="K9" i="14"/>
  <c r="J9" i="14"/>
  <c r="I9" i="14"/>
  <c r="H9" i="14"/>
  <c r="G9" i="14"/>
  <c r="F9" i="14"/>
  <c r="E9" i="14"/>
  <c r="D9" i="14"/>
  <c r="C9" i="14"/>
  <c r="A8" i="14"/>
  <c r="A7" i="14"/>
  <c r="A6" i="14"/>
  <c r="E51" i="13"/>
  <c r="F51" i="13" s="1"/>
  <c r="G51" i="13" s="1"/>
  <c r="O50" i="13"/>
  <c r="K50" i="13"/>
  <c r="G50" i="13"/>
  <c r="C50" i="13"/>
  <c r="B50" i="13"/>
  <c r="L48" i="13"/>
  <c r="K48" i="13"/>
  <c r="H48" i="13"/>
  <c r="D48" i="13"/>
  <c r="P46" i="13"/>
  <c r="P45" i="13"/>
  <c r="P44" i="13"/>
  <c r="P43" i="13"/>
  <c r="P42" i="13"/>
  <c r="P41" i="13"/>
  <c r="O40" i="13"/>
  <c r="O48" i="13" s="1"/>
  <c r="N40" i="13"/>
  <c r="M40" i="13"/>
  <c r="M48" i="13" s="1"/>
  <c r="L40" i="13"/>
  <c r="L50" i="13" s="1"/>
  <c r="K40" i="13"/>
  <c r="J40" i="13"/>
  <c r="I40" i="13"/>
  <c r="I48" i="13" s="1"/>
  <c r="H40" i="13"/>
  <c r="H50" i="13" s="1"/>
  <c r="G40" i="13"/>
  <c r="G48" i="13" s="1"/>
  <c r="F40" i="13"/>
  <c r="E40" i="13"/>
  <c r="E48" i="13" s="1"/>
  <c r="D40" i="13"/>
  <c r="D50" i="13" s="1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A26" i="13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P25" i="13"/>
  <c r="P24" i="13"/>
  <c r="P23" i="13"/>
  <c r="P22" i="13"/>
  <c r="P21" i="13"/>
  <c r="P20" i="13"/>
  <c r="P19" i="13"/>
  <c r="P18" i="13"/>
  <c r="A18" i="13"/>
  <c r="A19" i="13" s="1"/>
  <c r="A20" i="13" s="1"/>
  <c r="A21" i="13" s="1"/>
  <c r="A22" i="13" s="1"/>
  <c r="A23" i="13" s="1"/>
  <c r="A24" i="13" s="1"/>
  <c r="A25" i="13" s="1"/>
  <c r="P17" i="13"/>
  <c r="P16" i="13"/>
  <c r="P15" i="13"/>
  <c r="P14" i="13"/>
  <c r="A14" i="13"/>
  <c r="A15" i="13" s="1"/>
  <c r="A16" i="13" s="1"/>
  <c r="A17" i="13" s="1"/>
  <c r="A13" i="13"/>
  <c r="P12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P8" i="13"/>
  <c r="A8" i="13"/>
  <c r="A6" i="13"/>
  <c r="E33" i="12"/>
  <c r="F33" i="12" s="1"/>
  <c r="G33" i="12" s="1"/>
  <c r="H33" i="12" s="1"/>
  <c r="I33" i="12" s="1"/>
  <c r="J33" i="12" s="1"/>
  <c r="K33" i="12" s="1"/>
  <c r="L33" i="12" s="1"/>
  <c r="M33" i="12" s="1"/>
  <c r="N33" i="12" s="1"/>
  <c r="O33" i="12" s="1"/>
  <c r="K32" i="12"/>
  <c r="J32" i="12"/>
  <c r="C32" i="12"/>
  <c r="B32" i="12"/>
  <c r="L30" i="12"/>
  <c r="K30" i="12"/>
  <c r="E30" i="12"/>
  <c r="D30" i="12"/>
  <c r="P28" i="12"/>
  <c r="P27" i="12"/>
  <c r="P26" i="12"/>
  <c r="P25" i="12"/>
  <c r="P24" i="12"/>
  <c r="P23" i="12"/>
  <c r="O22" i="12"/>
  <c r="N22" i="12"/>
  <c r="N30" i="12" s="1"/>
  <c r="M22" i="12"/>
  <c r="L22" i="12"/>
  <c r="L32" i="12" s="1"/>
  <c r="K22" i="12"/>
  <c r="J22" i="12"/>
  <c r="J30" i="12" s="1"/>
  <c r="I22" i="12"/>
  <c r="H22" i="12"/>
  <c r="G22" i="12"/>
  <c r="F22" i="12"/>
  <c r="F30" i="12" s="1"/>
  <c r="E22" i="12"/>
  <c r="E32" i="12" s="1"/>
  <c r="D22" i="12"/>
  <c r="D32" i="12" s="1"/>
  <c r="P21" i="12"/>
  <c r="P20" i="12"/>
  <c r="P19" i="12"/>
  <c r="P18" i="12"/>
  <c r="P17" i="12"/>
  <c r="P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P15" i="12"/>
  <c r="P14" i="12"/>
  <c r="A14" i="12"/>
  <c r="A15" i="12" s="1"/>
  <c r="P13" i="12"/>
  <c r="A13" i="12"/>
  <c r="P12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P8" i="12"/>
  <c r="A8" i="12"/>
  <c r="A6" i="12"/>
  <c r="D38" i="11"/>
  <c r="O36" i="11"/>
  <c r="M36" i="11"/>
  <c r="K36" i="11"/>
  <c r="G36" i="11"/>
  <c r="C36" i="11"/>
  <c r="B36" i="11"/>
  <c r="O34" i="11"/>
  <c r="K34" i="11"/>
  <c r="J34" i="11"/>
  <c r="H34" i="11"/>
  <c r="G34" i="11"/>
  <c r="D34" i="11"/>
  <c r="P33" i="11"/>
  <c r="P32" i="11"/>
  <c r="P31" i="11"/>
  <c r="P30" i="11"/>
  <c r="P29" i="11"/>
  <c r="P28" i="11"/>
  <c r="P27" i="11"/>
  <c r="P26" i="11"/>
  <c r="O25" i="11"/>
  <c r="N25" i="11"/>
  <c r="M25" i="11"/>
  <c r="M34" i="11" s="1"/>
  <c r="L25" i="11"/>
  <c r="L36" i="11" s="1"/>
  <c r="K25" i="11"/>
  <c r="J25" i="11"/>
  <c r="J36" i="11" s="1"/>
  <c r="I25" i="11"/>
  <c r="I34" i="11" s="1"/>
  <c r="H25" i="11"/>
  <c r="H36" i="11" s="1"/>
  <c r="G25" i="11"/>
  <c r="F25" i="11"/>
  <c r="E25" i="11"/>
  <c r="D25" i="11"/>
  <c r="D36" i="11" s="1"/>
  <c r="P24" i="11"/>
  <c r="P23" i="11"/>
  <c r="P22" i="11"/>
  <c r="P21" i="11"/>
  <c r="P20" i="11"/>
  <c r="P19" i="11"/>
  <c r="P18" i="1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P17" i="11"/>
  <c r="P16" i="11"/>
  <c r="A16" i="11"/>
  <c r="A17" i="11" s="1"/>
  <c r="P15" i="11"/>
  <c r="P14" i="11"/>
  <c r="A14" i="11"/>
  <c r="A15" i="11" s="1"/>
  <c r="P13" i="11"/>
  <c r="A13" i="11"/>
  <c r="P12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P8" i="11"/>
  <c r="A8" i="11"/>
  <c r="A6" i="11"/>
  <c r="P108" i="10"/>
  <c r="P107" i="10"/>
  <c r="D162" i="5" s="1"/>
  <c r="P106" i="10"/>
  <c r="P105" i="10"/>
  <c r="P104" i="10"/>
  <c r="P103" i="10"/>
  <c r="P102" i="10"/>
  <c r="P101" i="10"/>
  <c r="D156" i="5" s="1"/>
  <c r="P100" i="10"/>
  <c r="P98" i="10"/>
  <c r="P97" i="10"/>
  <c r="P96" i="10"/>
  <c r="D147" i="5" s="1"/>
  <c r="P95" i="10"/>
  <c r="P94" i="10"/>
  <c r="D145" i="5" s="1"/>
  <c r="D149" i="5" s="1"/>
  <c r="K24" i="3" s="1"/>
  <c r="P93" i="10"/>
  <c r="P92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P91" i="10" s="1"/>
  <c r="D134" i="5" s="1"/>
  <c r="D135" i="5" s="1"/>
  <c r="K22" i="3" s="1"/>
  <c r="P90" i="10"/>
  <c r="P89" i="10"/>
  <c r="P88" i="10"/>
  <c r="D126" i="5" s="1"/>
  <c r="P87" i="10"/>
  <c r="P86" i="10"/>
  <c r="P85" i="10"/>
  <c r="P84" i="10"/>
  <c r="P83" i="10"/>
  <c r="P82" i="10"/>
  <c r="D120" i="5" s="1"/>
  <c r="P81" i="10"/>
  <c r="P80" i="10"/>
  <c r="D118" i="5" s="1"/>
  <c r="P79" i="10"/>
  <c r="P78" i="10"/>
  <c r="P77" i="10"/>
  <c r="P76" i="10"/>
  <c r="P75" i="10"/>
  <c r="P74" i="10"/>
  <c r="D109" i="5" s="1"/>
  <c r="P73" i="10"/>
  <c r="P72" i="10"/>
  <c r="D107" i="5" s="1"/>
  <c r="P71" i="10"/>
  <c r="P70" i="10"/>
  <c r="P69" i="10"/>
  <c r="P68" i="10"/>
  <c r="P67" i="10"/>
  <c r="P66" i="10"/>
  <c r="D75" i="5" s="1"/>
  <c r="D78" i="5" s="1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D45" i="5" s="1"/>
  <c r="P49" i="10"/>
  <c r="P48" i="10"/>
  <c r="D43" i="5" s="1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D85" i="5" s="1"/>
  <c r="P33" i="10"/>
  <c r="P32" i="10"/>
  <c r="D82" i="5" s="1"/>
  <c r="P31" i="10"/>
  <c r="P30" i="10"/>
  <c r="P29" i="10"/>
  <c r="P28" i="10"/>
  <c r="P27" i="10"/>
  <c r="P26" i="10"/>
  <c r="P25" i="10"/>
  <c r="P23" i="10"/>
  <c r="P20" i="10"/>
  <c r="P19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P17" i="10"/>
  <c r="A14" i="10"/>
  <c r="A15" i="10" s="1"/>
  <c r="A16" i="10" s="1"/>
  <c r="A17" i="10" s="1"/>
  <c r="A18" i="10" s="1"/>
  <c r="A13" i="10"/>
  <c r="P8" i="10"/>
  <c r="A8" i="10"/>
  <c r="A6" i="10"/>
  <c r="G53" i="9"/>
  <c r="M52" i="9"/>
  <c r="M54" i="9" s="1"/>
  <c r="L52" i="9"/>
  <c r="L54" i="9" s="1"/>
  <c r="H52" i="9"/>
  <c r="H53" i="9" s="1"/>
  <c r="G52" i="9"/>
  <c r="E52" i="9"/>
  <c r="E53" i="9" s="1"/>
  <c r="D52" i="9"/>
  <c r="D53" i="9" s="1"/>
  <c r="C52" i="9"/>
  <c r="B52" i="9"/>
  <c r="N50" i="9"/>
  <c r="M50" i="9"/>
  <c r="J50" i="9"/>
  <c r="J52" i="9" s="1"/>
  <c r="I50" i="9"/>
  <c r="I52" i="9" s="1"/>
  <c r="I53" i="9" s="1"/>
  <c r="H50" i="9"/>
  <c r="G50" i="9"/>
  <c r="F50" i="9"/>
  <c r="F52" i="9" s="1"/>
  <c r="F53" i="9" s="1"/>
  <c r="E50" i="9"/>
  <c r="D50" i="9"/>
  <c r="P48" i="9"/>
  <c r="P47" i="9"/>
  <c r="P46" i="9"/>
  <c r="P45" i="9"/>
  <c r="P44" i="9"/>
  <c r="P43" i="9"/>
  <c r="O42" i="9"/>
  <c r="O52" i="9" s="1"/>
  <c r="N42" i="9"/>
  <c r="N52" i="9" s="1"/>
  <c r="N54" i="9" s="1"/>
  <c r="M42" i="9"/>
  <c r="L42" i="9"/>
  <c r="L50" i="9" s="1"/>
  <c r="K42" i="9"/>
  <c r="K50" i="9" s="1"/>
  <c r="K52" i="9" s="1"/>
  <c r="J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P23" i="9"/>
  <c r="P22" i="9"/>
  <c r="A22" i="9"/>
  <c r="A23" i="9" s="1"/>
  <c r="P21" i="9"/>
  <c r="P20" i="9"/>
  <c r="P19" i="9"/>
  <c r="P18" i="9"/>
  <c r="P17" i="9"/>
  <c r="P16" i="9"/>
  <c r="A16" i="9"/>
  <c r="A17" i="9" s="1"/>
  <c r="A18" i="9" s="1"/>
  <c r="A19" i="9" s="1"/>
  <c r="A20" i="9" s="1"/>
  <c r="A21" i="9" s="1"/>
  <c r="P15" i="9"/>
  <c r="A15" i="9"/>
  <c r="P14" i="9"/>
  <c r="P13" i="9"/>
  <c r="P12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O9" i="9"/>
  <c r="N9" i="9"/>
  <c r="M9" i="9"/>
  <c r="L9" i="9"/>
  <c r="K9" i="9"/>
  <c r="J9" i="9"/>
  <c r="I9" i="9"/>
  <c r="H9" i="9"/>
  <c r="G9" i="9"/>
  <c r="F9" i="9"/>
  <c r="E9" i="9"/>
  <c r="D9" i="9"/>
  <c r="P8" i="9"/>
  <c r="J34" i="8"/>
  <c r="G33" i="8"/>
  <c r="F33" i="8"/>
  <c r="M32" i="8"/>
  <c r="M34" i="8" s="1"/>
  <c r="L32" i="8"/>
  <c r="I32" i="8"/>
  <c r="I33" i="8" s="1"/>
  <c r="H32" i="8"/>
  <c r="H33" i="8" s="1"/>
  <c r="G32" i="8"/>
  <c r="F32" i="8"/>
  <c r="E32" i="8"/>
  <c r="E33" i="8" s="1"/>
  <c r="D32" i="8"/>
  <c r="D33" i="8" s="1"/>
  <c r="C32" i="8"/>
  <c r="B32" i="8"/>
  <c r="N30" i="8"/>
  <c r="M30" i="8"/>
  <c r="J30" i="8"/>
  <c r="J32" i="8" s="1"/>
  <c r="I30" i="8"/>
  <c r="H30" i="8"/>
  <c r="G30" i="8"/>
  <c r="F30" i="8"/>
  <c r="E30" i="8"/>
  <c r="D30" i="8"/>
  <c r="P28" i="8"/>
  <c r="P27" i="8"/>
  <c r="P26" i="8"/>
  <c r="P25" i="8"/>
  <c r="P24" i="8"/>
  <c r="P23" i="8"/>
  <c r="O22" i="8"/>
  <c r="O32" i="8" s="1"/>
  <c r="N22" i="8"/>
  <c r="N32" i="8" s="1"/>
  <c r="N34" i="8" s="1"/>
  <c r="M22" i="8"/>
  <c r="L22" i="8"/>
  <c r="L30" i="8" s="1"/>
  <c r="K22" i="8"/>
  <c r="K30" i="8" s="1"/>
  <c r="K32" i="8" s="1"/>
  <c r="J22" i="8"/>
  <c r="P21" i="8"/>
  <c r="P20" i="8"/>
  <c r="P19" i="8"/>
  <c r="P18" i="8"/>
  <c r="P17" i="8"/>
  <c r="P16" i="8"/>
  <c r="P15" i="8"/>
  <c r="P14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P13" i="8"/>
  <c r="A13" i="8"/>
  <c r="P12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O9" i="8"/>
  <c r="N9" i="8"/>
  <c r="M9" i="8"/>
  <c r="L9" i="8"/>
  <c r="K9" i="8"/>
  <c r="J9" i="8"/>
  <c r="I9" i="8"/>
  <c r="H9" i="8"/>
  <c r="G9" i="8"/>
  <c r="F9" i="8"/>
  <c r="E9" i="8"/>
  <c r="D9" i="8"/>
  <c r="P8" i="8"/>
  <c r="A6" i="8"/>
  <c r="O40" i="7"/>
  <c r="H39" i="7"/>
  <c r="G39" i="7"/>
  <c r="D39" i="7"/>
  <c r="N38" i="7"/>
  <c r="N40" i="7" s="1"/>
  <c r="J38" i="7"/>
  <c r="J40" i="7" s="1"/>
  <c r="I38" i="7"/>
  <c r="I39" i="7" s="1"/>
  <c r="H38" i="7"/>
  <c r="G38" i="7"/>
  <c r="F38" i="7"/>
  <c r="F39" i="7" s="1"/>
  <c r="E38" i="7"/>
  <c r="E39" i="7" s="1"/>
  <c r="D38" i="7"/>
  <c r="C38" i="7"/>
  <c r="B38" i="7"/>
  <c r="O36" i="7"/>
  <c r="N36" i="7"/>
  <c r="K36" i="7"/>
  <c r="K38" i="7" s="1"/>
  <c r="J36" i="7"/>
  <c r="I36" i="7"/>
  <c r="H36" i="7"/>
  <c r="G36" i="7"/>
  <c r="F36" i="7"/>
  <c r="E36" i="7"/>
  <c r="D36" i="7"/>
  <c r="P35" i="7"/>
  <c r="P34" i="7"/>
  <c r="P33" i="7"/>
  <c r="P32" i="7"/>
  <c r="P31" i="7"/>
  <c r="P30" i="7"/>
  <c r="P29" i="7"/>
  <c r="P28" i="7"/>
  <c r="O27" i="7"/>
  <c r="O38" i="7" s="1"/>
  <c r="N27" i="7"/>
  <c r="M27" i="7"/>
  <c r="M36" i="7" s="1"/>
  <c r="L27" i="7"/>
  <c r="K27" i="7"/>
  <c r="J27" i="7"/>
  <c r="P26" i="7"/>
  <c r="P25" i="7"/>
  <c r="P24" i="7"/>
  <c r="P23" i="7"/>
  <c r="P22" i="7"/>
  <c r="P21" i="7"/>
  <c r="P20" i="7"/>
  <c r="P19" i="7"/>
  <c r="P18" i="7"/>
  <c r="P17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A6" i="7"/>
  <c r="I110" i="6"/>
  <c r="H110" i="6"/>
  <c r="G110" i="6"/>
  <c r="F110" i="6"/>
  <c r="E110" i="6"/>
  <c r="D110" i="6"/>
  <c r="P108" i="6"/>
  <c r="P107" i="6"/>
  <c r="P106" i="6"/>
  <c r="P105" i="6"/>
  <c r="D164" i="4" s="1"/>
  <c r="P104" i="6"/>
  <c r="P103" i="6"/>
  <c r="D162" i="4" s="1"/>
  <c r="P102" i="6"/>
  <c r="P101" i="6"/>
  <c r="P100" i="6"/>
  <c r="P98" i="6"/>
  <c r="P97" i="6"/>
  <c r="P96" i="6"/>
  <c r="P95" i="6"/>
  <c r="P94" i="6"/>
  <c r="D149" i="4" s="1"/>
  <c r="D153" i="4" s="1"/>
  <c r="D24" i="3" s="1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D117" i="4" s="1"/>
  <c r="P77" i="6"/>
  <c r="P76" i="6"/>
  <c r="P75" i="6"/>
  <c r="P74" i="6"/>
  <c r="P73" i="6"/>
  <c r="P72" i="6"/>
  <c r="D111" i="4" s="1"/>
  <c r="P71" i="6"/>
  <c r="P70" i="6"/>
  <c r="P69" i="6"/>
  <c r="P68" i="6"/>
  <c r="P67" i="6"/>
  <c r="P66" i="6"/>
  <c r="P65" i="6"/>
  <c r="P64" i="6"/>
  <c r="P63" i="6"/>
  <c r="P62" i="6"/>
  <c r="D69" i="4" s="1"/>
  <c r="P61" i="6"/>
  <c r="P60" i="6"/>
  <c r="P59" i="6"/>
  <c r="D62" i="4" s="1"/>
  <c r="P58" i="6"/>
  <c r="P57" i="6"/>
  <c r="P56" i="6"/>
  <c r="P55" i="6"/>
  <c r="P54" i="6"/>
  <c r="P53" i="6"/>
  <c r="D52" i="4" s="1"/>
  <c r="P52" i="6"/>
  <c r="P51" i="6"/>
  <c r="P50" i="6"/>
  <c r="P49" i="6"/>
  <c r="P48" i="6"/>
  <c r="P47" i="6"/>
  <c r="P46" i="6"/>
  <c r="D44" i="4" s="1"/>
  <c r="P45" i="6"/>
  <c r="P44" i="6"/>
  <c r="P43" i="6"/>
  <c r="P42" i="6"/>
  <c r="P41" i="6"/>
  <c r="P40" i="6"/>
  <c r="D96" i="4" s="1"/>
  <c r="D104" i="4" s="1"/>
  <c r="D17" i="3" s="1"/>
  <c r="P39" i="6"/>
  <c r="P38" i="6"/>
  <c r="P37" i="6"/>
  <c r="D92" i="4" s="1"/>
  <c r="P36" i="6"/>
  <c r="P35" i="6"/>
  <c r="D90" i="4" s="1"/>
  <c r="P34" i="6"/>
  <c r="P33" i="6"/>
  <c r="P32" i="6"/>
  <c r="P31" i="6"/>
  <c r="P30" i="6"/>
  <c r="D37" i="4" s="1"/>
  <c r="P29" i="6"/>
  <c r="P28" i="6"/>
  <c r="P27" i="6"/>
  <c r="D28" i="4" s="1"/>
  <c r="P26" i="6"/>
  <c r="P25" i="6"/>
  <c r="P24" i="6"/>
  <c r="D22" i="4" s="1"/>
  <c r="P23" i="6"/>
  <c r="P22" i="6"/>
  <c r="P21" i="6"/>
  <c r="D19" i="4" s="1"/>
  <c r="P20" i="6"/>
  <c r="P19" i="6"/>
  <c r="P18" i="6"/>
  <c r="P17" i="6"/>
  <c r="J16" i="6"/>
  <c r="J1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P14" i="6"/>
  <c r="A13" i="6"/>
  <c r="A14" i="6" s="1"/>
  <c r="P12" i="6"/>
  <c r="P8" i="6"/>
  <c r="A8" i="6"/>
  <c r="A7" i="6"/>
  <c r="A6" i="6"/>
  <c r="A6" i="9" s="1"/>
  <c r="D166" i="5"/>
  <c r="D167" i="5" s="1"/>
  <c r="D161" i="5"/>
  <c r="D160" i="5"/>
  <c r="D159" i="5"/>
  <c r="D158" i="5"/>
  <c r="D157" i="5"/>
  <c r="D155" i="5"/>
  <c r="D153" i="5"/>
  <c r="D152" i="5"/>
  <c r="D146" i="5"/>
  <c r="D141" i="5"/>
  <c r="D140" i="5"/>
  <c r="D142" i="5" s="1"/>
  <c r="K23" i="3" s="1"/>
  <c r="D133" i="5"/>
  <c r="D132" i="5"/>
  <c r="D125" i="5"/>
  <c r="D124" i="5"/>
  <c r="D123" i="5"/>
  <c r="D122" i="5"/>
  <c r="D121" i="5"/>
  <c r="D119" i="5"/>
  <c r="D114" i="5"/>
  <c r="D113" i="5"/>
  <c r="D112" i="5"/>
  <c r="D111" i="5"/>
  <c r="D110" i="5"/>
  <c r="D108" i="5"/>
  <c r="D106" i="5"/>
  <c r="D105" i="5"/>
  <c r="D104" i="5"/>
  <c r="D103" i="5"/>
  <c r="D99" i="5"/>
  <c r="D97" i="5"/>
  <c r="D95" i="5"/>
  <c r="D94" i="5"/>
  <c r="D93" i="5"/>
  <c r="D92" i="5"/>
  <c r="D91" i="5"/>
  <c r="D89" i="5"/>
  <c r="D88" i="5"/>
  <c r="D87" i="5"/>
  <c r="D86" i="5"/>
  <c r="D83" i="5"/>
  <c r="D81" i="5"/>
  <c r="D76" i="5"/>
  <c r="D74" i="5"/>
  <c r="D67" i="5"/>
  <c r="D66" i="5"/>
  <c r="D65" i="5"/>
  <c r="D70" i="5" s="1"/>
  <c r="K20" i="3" s="1"/>
  <c r="D64" i="5"/>
  <c r="D59" i="5"/>
  <c r="D58" i="5"/>
  <c r="D57" i="5"/>
  <c r="D56" i="5"/>
  <c r="D55" i="5"/>
  <c r="D53" i="5"/>
  <c r="D60" i="5" s="1"/>
  <c r="D49" i="5"/>
  <c r="D48" i="5"/>
  <c r="D47" i="5"/>
  <c r="D46" i="5"/>
  <c r="D44" i="5"/>
  <c r="D42" i="5"/>
  <c r="D50" i="5" s="1"/>
  <c r="K19" i="3" s="1"/>
  <c r="D40" i="5"/>
  <c r="D38" i="5"/>
  <c r="D33" i="5"/>
  <c r="D32" i="5"/>
  <c r="D25" i="5"/>
  <c r="D24" i="5"/>
  <c r="D23" i="5"/>
  <c r="D22" i="5"/>
  <c r="D26" i="5" s="1"/>
  <c r="D28" i="5" s="1"/>
  <c r="D18" i="5"/>
  <c r="D17" i="5"/>
  <c r="D16" i="5"/>
  <c r="D15" i="5"/>
  <c r="D19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4" i="5"/>
  <c r="D8" i="5"/>
  <c r="A7" i="5"/>
  <c r="D170" i="4"/>
  <c r="D171" i="4" s="1"/>
  <c r="D166" i="4"/>
  <c r="D165" i="4"/>
  <c r="D163" i="4"/>
  <c r="D161" i="4"/>
  <c r="D160" i="4"/>
  <c r="D159" i="4"/>
  <c r="D157" i="4"/>
  <c r="D156" i="4"/>
  <c r="D151" i="4"/>
  <c r="D150" i="4"/>
  <c r="D145" i="4"/>
  <c r="D144" i="4"/>
  <c r="D146" i="4" s="1"/>
  <c r="D23" i="3" s="1"/>
  <c r="D138" i="4"/>
  <c r="D137" i="4"/>
  <c r="D139" i="4" s="1"/>
  <c r="D22" i="3" s="1"/>
  <c r="D136" i="4"/>
  <c r="D130" i="4"/>
  <c r="D129" i="4"/>
  <c r="D128" i="4"/>
  <c r="D127" i="4"/>
  <c r="D126" i="4"/>
  <c r="D125" i="4"/>
  <c r="D124" i="4"/>
  <c r="D123" i="4"/>
  <c r="D122" i="4"/>
  <c r="D132" i="4" s="1"/>
  <c r="D118" i="4"/>
  <c r="D116" i="4"/>
  <c r="D115" i="4"/>
  <c r="D114" i="4"/>
  <c r="D113" i="4"/>
  <c r="D112" i="4"/>
  <c r="D110" i="4"/>
  <c r="D109" i="4"/>
  <c r="D108" i="4"/>
  <c r="D119" i="4" s="1"/>
  <c r="D21" i="3" s="1"/>
  <c r="D107" i="4"/>
  <c r="D103" i="4"/>
  <c r="D101" i="4"/>
  <c r="D99" i="4"/>
  <c r="D98" i="4"/>
  <c r="D97" i="4"/>
  <c r="D95" i="4"/>
  <c r="D93" i="4"/>
  <c r="D91" i="4"/>
  <c r="D89" i="4"/>
  <c r="D87" i="4"/>
  <c r="D86" i="4"/>
  <c r="D85" i="4"/>
  <c r="D82" i="4"/>
  <c r="D80" i="4"/>
  <c r="D79" i="4"/>
  <c r="D78" i="4"/>
  <c r="D71" i="4"/>
  <c r="D70" i="4"/>
  <c r="D68" i="4"/>
  <c r="D74" i="4" s="1"/>
  <c r="D20" i="3" s="1"/>
  <c r="D63" i="4"/>
  <c r="D61" i="4"/>
  <c r="D60" i="4"/>
  <c r="D59" i="4"/>
  <c r="D57" i="4"/>
  <c r="D53" i="4"/>
  <c r="D51" i="4"/>
  <c r="D50" i="4"/>
  <c r="D49" i="4"/>
  <c r="D48" i="4"/>
  <c r="D47" i="4"/>
  <c r="D46" i="4"/>
  <c r="D42" i="4"/>
  <c r="D36" i="4"/>
  <c r="D38" i="4" s="1"/>
  <c r="D29" i="4"/>
  <c r="D27" i="4"/>
  <c r="D26" i="4"/>
  <c r="D30" i="4" s="1"/>
  <c r="D21" i="4"/>
  <c r="D20" i="4"/>
  <c r="D18" i="4"/>
  <c r="D17" i="4"/>
  <c r="D16" i="4"/>
  <c r="D15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D8" i="4"/>
  <c r="H33" i="3"/>
  <c r="H31" i="3"/>
  <c r="D28" i="3"/>
  <c r="O9" i="3"/>
  <c r="A9" i="3"/>
  <c r="A8" i="3"/>
  <c r="A7" i="3"/>
  <c r="L49" i="14" l="1"/>
  <c r="M49" i="14" s="1"/>
  <c r="N49" i="14" s="1"/>
  <c r="K52" i="14"/>
  <c r="M37" i="15"/>
  <c r="P14" i="10"/>
  <c r="E37" i="11"/>
  <c r="F37" i="11" s="1"/>
  <c r="G37" i="11" s="1"/>
  <c r="H37" i="11" s="1"/>
  <c r="D37" i="15"/>
  <c r="I37" i="15"/>
  <c r="N37" i="15"/>
  <c r="J66" i="15"/>
  <c r="K54" i="9"/>
  <c r="O54" i="9"/>
  <c r="J22" i="14"/>
  <c r="K67" i="14"/>
  <c r="K72" i="14" s="1"/>
  <c r="E37" i="15"/>
  <c r="J37" i="15"/>
  <c r="I38" i="15"/>
  <c r="F51" i="15"/>
  <c r="E66" i="15"/>
  <c r="M66" i="15"/>
  <c r="H37" i="15"/>
  <c r="L52" i="14"/>
  <c r="O99" i="6"/>
  <c r="K34" i="8"/>
  <c r="P34" i="8" s="1"/>
  <c r="O34" i="8"/>
  <c r="L34" i="8"/>
  <c r="L67" i="14"/>
  <c r="L22" i="14" s="1"/>
  <c r="F37" i="15"/>
  <c r="L37" i="15"/>
  <c r="F66" i="15"/>
  <c r="N66" i="15"/>
  <c r="D18" i="2"/>
  <c r="F22" i="3"/>
  <c r="O22" i="3"/>
  <c r="D23" i="4"/>
  <c r="D32" i="4" s="1"/>
  <c r="D18" i="3"/>
  <c r="K14" i="3"/>
  <c r="O19" i="3"/>
  <c r="D54" i="4"/>
  <c r="D19" i="3" s="1"/>
  <c r="F19" i="3" s="1"/>
  <c r="F24" i="3"/>
  <c r="O24" i="3"/>
  <c r="O20" i="3"/>
  <c r="F20" i="3"/>
  <c r="F23" i="3"/>
  <c r="O23" i="3"/>
  <c r="H23" i="2"/>
  <c r="J23" i="2" s="1"/>
  <c r="D61" i="15"/>
  <c r="A8" i="8"/>
  <c r="A8" i="7"/>
  <c r="D64" i="4"/>
  <c r="D34" i="5"/>
  <c r="K40" i="7"/>
  <c r="M38" i="7"/>
  <c r="M40" i="7" s="1"/>
  <c r="M99" i="6" s="1"/>
  <c r="A8" i="9"/>
  <c r="P52" i="9"/>
  <c r="P12" i="10"/>
  <c r="F36" i="11"/>
  <c r="F38" i="11" s="1"/>
  <c r="F34" i="11"/>
  <c r="N36" i="11"/>
  <c r="N34" i="11"/>
  <c r="E71" i="14"/>
  <c r="D100" i="5"/>
  <c r="K17" i="3" s="1"/>
  <c r="D115" i="5"/>
  <c r="K15" i="6"/>
  <c r="O59" i="15"/>
  <c r="J54" i="9"/>
  <c r="P54" i="9" s="1"/>
  <c r="P53" i="9" s="1"/>
  <c r="D128" i="5"/>
  <c r="I37" i="11"/>
  <c r="J37" i="11" s="1"/>
  <c r="K37" i="11" s="1"/>
  <c r="L37" i="11" s="1"/>
  <c r="M37" i="11" s="1"/>
  <c r="N37" i="11" s="1"/>
  <c r="O37" i="11" s="1"/>
  <c r="O38" i="11" s="1"/>
  <c r="H38" i="11"/>
  <c r="F48" i="13"/>
  <c r="F50" i="13"/>
  <c r="F52" i="13" s="1"/>
  <c r="J48" i="13"/>
  <c r="J50" i="13"/>
  <c r="J52" i="13" s="1"/>
  <c r="N48" i="13"/>
  <c r="N50" i="13"/>
  <c r="K71" i="14"/>
  <c r="K20" i="14"/>
  <c r="A7" i="15"/>
  <c r="A7" i="13"/>
  <c r="A7" i="12"/>
  <c r="A7" i="11"/>
  <c r="A7" i="10"/>
  <c r="N99" i="6"/>
  <c r="P30" i="8"/>
  <c r="P22" i="8"/>
  <c r="P32" i="8"/>
  <c r="P42" i="9"/>
  <c r="P50" i="9" s="1"/>
  <c r="L38" i="11"/>
  <c r="G38" i="11"/>
  <c r="G99" i="10" s="1"/>
  <c r="A7" i="8"/>
  <c r="A7" i="7"/>
  <c r="L38" i="7"/>
  <c r="L40" i="7" s="1"/>
  <c r="L99" i="6" s="1"/>
  <c r="L36" i="7"/>
  <c r="P27" i="7"/>
  <c r="P36" i="7" s="1"/>
  <c r="A7" i="9"/>
  <c r="E34" i="11"/>
  <c r="E36" i="11"/>
  <c r="E38" i="11" s="1"/>
  <c r="I36" i="11"/>
  <c r="K34" i="12"/>
  <c r="P48" i="13"/>
  <c r="H51" i="13"/>
  <c r="I51" i="13" s="1"/>
  <c r="J51" i="13" s="1"/>
  <c r="K51" i="13" s="1"/>
  <c r="L51" i="13" s="1"/>
  <c r="M51" i="13" s="1"/>
  <c r="N51" i="13" s="1"/>
  <c r="O51" i="13" s="1"/>
  <c r="O52" i="13" s="1"/>
  <c r="G52" i="13"/>
  <c r="O30" i="8"/>
  <c r="O50" i="9"/>
  <c r="G32" i="12"/>
  <c r="G34" i="12" s="1"/>
  <c r="G30" i="12"/>
  <c r="O32" i="12"/>
  <c r="O34" i="12" s="1"/>
  <c r="O30" i="12"/>
  <c r="M39" i="14"/>
  <c r="N39" i="14"/>
  <c r="J70" i="14"/>
  <c r="E35" i="15"/>
  <c r="E40" i="15" s="1"/>
  <c r="E22" i="15" s="1"/>
  <c r="O33" i="15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P25" i="11"/>
  <c r="P34" i="11" s="1"/>
  <c r="L34" i="11"/>
  <c r="D34" i="12"/>
  <c r="D99" i="10" s="1"/>
  <c r="H32" i="12"/>
  <c r="H34" i="12" s="1"/>
  <c r="H30" i="12"/>
  <c r="L34" i="12"/>
  <c r="P22" i="12"/>
  <c r="P30" i="12" s="1"/>
  <c r="J34" i="12"/>
  <c r="K52" i="13"/>
  <c r="F40" i="15"/>
  <c r="F22" i="15" s="1"/>
  <c r="E34" i="12"/>
  <c r="I30" i="12"/>
  <c r="I32" i="12"/>
  <c r="I34" i="12" s="1"/>
  <c r="M30" i="12"/>
  <c r="M32" i="12"/>
  <c r="M34" i="12" s="1"/>
  <c r="F32" i="12"/>
  <c r="F34" i="12" s="1"/>
  <c r="N32" i="12"/>
  <c r="N34" i="12" s="1"/>
  <c r="L39" i="14"/>
  <c r="J52" i="14"/>
  <c r="N52" i="14"/>
  <c r="C71" i="14"/>
  <c r="D35" i="15"/>
  <c r="D40" i="15" s="1"/>
  <c r="D22" i="15" s="1"/>
  <c r="C53" i="15"/>
  <c r="D52" i="13"/>
  <c r="H52" i="13"/>
  <c r="L52" i="13"/>
  <c r="N67" i="14"/>
  <c r="C72" i="14"/>
  <c r="G72" i="14"/>
  <c r="M67" i="14"/>
  <c r="I35" i="15"/>
  <c r="I40" i="15" s="1"/>
  <c r="I22" i="15" s="1"/>
  <c r="M35" i="15"/>
  <c r="M40" i="15" s="1"/>
  <c r="M22" i="15" s="1"/>
  <c r="M32" i="15"/>
  <c r="N32" i="15" s="1"/>
  <c r="N35" i="15" s="1"/>
  <c r="L35" i="15"/>
  <c r="L40" i="15" s="1"/>
  <c r="L22" i="15" s="1"/>
  <c r="J53" i="15"/>
  <c r="J21" i="15" s="1"/>
  <c r="N53" i="15"/>
  <c r="N21" i="15" s="1"/>
  <c r="N50" i="15"/>
  <c r="J50" i="15"/>
  <c r="F50" i="15"/>
  <c r="F53" i="15" s="1"/>
  <c r="F21" i="15" s="1"/>
  <c r="M50" i="15"/>
  <c r="I50" i="15"/>
  <c r="E50" i="15"/>
  <c r="E53" i="15" s="1"/>
  <c r="E21" i="15" s="1"/>
  <c r="G50" i="15"/>
  <c r="G53" i="15" s="1"/>
  <c r="G21" i="15" s="1"/>
  <c r="H50" i="15"/>
  <c r="K50" i="15"/>
  <c r="L50" i="15"/>
  <c r="E50" i="13"/>
  <c r="E52" i="13" s="1"/>
  <c r="I50" i="13"/>
  <c r="I52" i="13" s="1"/>
  <c r="M50" i="13"/>
  <c r="M52" i="13" s="1"/>
  <c r="O34" i="14"/>
  <c r="K39" i="14"/>
  <c r="O39" i="14" s="1"/>
  <c r="O13" i="15"/>
  <c r="H35" i="15"/>
  <c r="H40" i="15" s="1"/>
  <c r="H22" i="15" s="1"/>
  <c r="K48" i="15"/>
  <c r="P40" i="13"/>
  <c r="C35" i="15"/>
  <c r="G35" i="15"/>
  <c r="K35" i="15"/>
  <c r="K40" i="15" s="1"/>
  <c r="K22" i="15" s="1"/>
  <c r="O43" i="15"/>
  <c r="F72" i="14"/>
  <c r="O19" i="15"/>
  <c r="O30" i="15"/>
  <c r="D48" i="15"/>
  <c r="D53" i="15" s="1"/>
  <c r="D21" i="15" s="1"/>
  <c r="H48" i="15"/>
  <c r="L48" i="15"/>
  <c r="O44" i="15"/>
  <c r="M51" i="15"/>
  <c r="I51" i="15"/>
  <c r="E51" i="15"/>
  <c r="L51" i="15"/>
  <c r="H51" i="15"/>
  <c r="D51" i="15"/>
  <c r="K51" i="15"/>
  <c r="O15" i="15"/>
  <c r="J51" i="15"/>
  <c r="C63" i="15"/>
  <c r="O60" i="15"/>
  <c r="O28" i="15"/>
  <c r="O32" i="15"/>
  <c r="G37" i="15"/>
  <c r="F38" i="15"/>
  <c r="J38" i="15"/>
  <c r="J40" i="15" s="1"/>
  <c r="J22" i="15" s="1"/>
  <c r="N38" i="15"/>
  <c r="G66" i="15"/>
  <c r="K66" i="15"/>
  <c r="G38" i="15"/>
  <c r="O56" i="15"/>
  <c r="D66" i="15"/>
  <c r="H66" i="15"/>
  <c r="H24" i="2" l="1"/>
  <c r="H26" i="2" s="1"/>
  <c r="L71" i="14"/>
  <c r="L20" i="14"/>
  <c r="I53" i="15"/>
  <c r="I21" i="15" s="1"/>
  <c r="N40" i="15"/>
  <c r="N22" i="15" s="1"/>
  <c r="L72" i="14"/>
  <c r="I38" i="11"/>
  <c r="I99" i="10" s="1"/>
  <c r="K38" i="11"/>
  <c r="K22" i="14"/>
  <c r="K99" i="6"/>
  <c r="M52" i="14"/>
  <c r="K53" i="15"/>
  <c r="K21" i="15" s="1"/>
  <c r="M53" i="15"/>
  <c r="M21" i="15" s="1"/>
  <c r="O67" i="14"/>
  <c r="J38" i="11"/>
  <c r="J99" i="10" s="1"/>
  <c r="L15" i="6"/>
  <c r="O14" i="3"/>
  <c r="C21" i="15"/>
  <c r="P32" i="12"/>
  <c r="N21" i="14"/>
  <c r="N70" i="14"/>
  <c r="H99" i="10"/>
  <c r="G40" i="15"/>
  <c r="G22" i="15" s="1"/>
  <c r="E99" i="10"/>
  <c r="N52" i="13"/>
  <c r="P52" i="13" s="1"/>
  <c r="P51" i="13" s="1"/>
  <c r="K99" i="10"/>
  <c r="J99" i="6"/>
  <c r="K21" i="3"/>
  <c r="N38" i="11"/>
  <c r="N99" i="10" s="1"/>
  <c r="D14" i="3"/>
  <c r="F14" i="3" s="1"/>
  <c r="O35" i="15"/>
  <c r="C40" i="15"/>
  <c r="K21" i="14"/>
  <c r="K70" i="14"/>
  <c r="O48" i="15"/>
  <c r="N71" i="14"/>
  <c r="N20" i="14"/>
  <c r="N24" i="14" s="1"/>
  <c r="O16" i="6" s="1"/>
  <c r="O17" i="3"/>
  <c r="F17" i="3"/>
  <c r="D173" i="5"/>
  <c r="K28" i="3" s="1"/>
  <c r="L53" i="15"/>
  <c r="L21" i="15" s="1"/>
  <c r="J20" i="14"/>
  <c r="J71" i="14"/>
  <c r="K24" i="14"/>
  <c r="L16" i="6" s="1"/>
  <c r="K18" i="3"/>
  <c r="C68" i="15"/>
  <c r="H53" i="15"/>
  <c r="H21" i="15" s="1"/>
  <c r="M72" i="14"/>
  <c r="M22" i="14"/>
  <c r="O22" i="14" s="1"/>
  <c r="N72" i="14"/>
  <c r="N22" i="14"/>
  <c r="P50" i="13"/>
  <c r="L70" i="14"/>
  <c r="L21" i="14"/>
  <c r="P34" i="12"/>
  <c r="M70" i="14"/>
  <c r="M21" i="14"/>
  <c r="L99" i="10"/>
  <c r="P38" i="7"/>
  <c r="O99" i="10"/>
  <c r="P40" i="7"/>
  <c r="P33" i="8"/>
  <c r="F99" i="10"/>
  <c r="E61" i="15"/>
  <c r="D63" i="15"/>
  <c r="D68" i="15" s="1"/>
  <c r="D23" i="15" s="1"/>
  <c r="D25" i="15" s="1"/>
  <c r="E16" i="10" s="1"/>
  <c r="M38" i="11"/>
  <c r="M99" i="10" s="1"/>
  <c r="P99" i="10" l="1"/>
  <c r="D154" i="5" s="1"/>
  <c r="D163" i="5" s="1"/>
  <c r="D169" i="5" s="1"/>
  <c r="M71" i="14"/>
  <c r="M20" i="14"/>
  <c r="M24" i="14" s="1"/>
  <c r="N16" i="6" s="1"/>
  <c r="O52" i="14"/>
  <c r="P38" i="11"/>
  <c r="L24" i="14"/>
  <c r="M16" i="6" s="1"/>
  <c r="K25" i="3"/>
  <c r="F21" i="3"/>
  <c r="O21" i="3"/>
  <c r="L110" i="6"/>
  <c r="M15" i="6"/>
  <c r="F28" i="3"/>
  <c r="M28" i="3"/>
  <c r="P99" i="6"/>
  <c r="D158" i="4" s="1"/>
  <c r="D167" i="4" s="1"/>
  <c r="J110" i="6"/>
  <c r="O21" i="15"/>
  <c r="F61" i="15"/>
  <c r="E63" i="15"/>
  <c r="C23" i="15"/>
  <c r="O21" i="14"/>
  <c r="D15" i="2"/>
  <c r="O18" i="3"/>
  <c r="F18" i="3"/>
  <c r="C22" i="15"/>
  <c r="O22" i="15" s="1"/>
  <c r="O40" i="15"/>
  <c r="F15" i="2"/>
  <c r="P39" i="7"/>
  <c r="P33" i="12"/>
  <c r="J24" i="14"/>
  <c r="O20" i="14"/>
  <c r="F18" i="2"/>
  <c r="O53" i="15"/>
  <c r="K16" i="6" l="1"/>
  <c r="O24" i="14"/>
  <c r="J18" i="2"/>
  <c r="M110" i="6"/>
  <c r="N15" i="6"/>
  <c r="J15" i="2"/>
  <c r="G61" i="15"/>
  <c r="F63" i="15"/>
  <c r="F68" i="15" s="1"/>
  <c r="F23" i="15" s="1"/>
  <c r="F25" i="15" s="1"/>
  <c r="G16" i="10" s="1"/>
  <c r="D25" i="3"/>
  <c r="D173" i="4"/>
  <c r="C25" i="15"/>
  <c r="E68" i="15"/>
  <c r="F25" i="3"/>
  <c r="O25" i="3"/>
  <c r="F19" i="2" s="1"/>
  <c r="J19" i="2" l="1"/>
  <c r="D16" i="10"/>
  <c r="N110" i="6"/>
  <c r="O15" i="6"/>
  <c r="P16" i="6"/>
  <c r="D176" i="4" s="1"/>
  <c r="D27" i="3" s="1"/>
  <c r="D21" i="2" s="1"/>
  <c r="K110" i="6"/>
  <c r="D19" i="2"/>
  <c r="E23" i="15"/>
  <c r="H61" i="15"/>
  <c r="G63" i="15"/>
  <c r="G68" i="15" l="1"/>
  <c r="E25" i="15"/>
  <c r="D15" i="10"/>
  <c r="O110" i="6"/>
  <c r="I61" i="15"/>
  <c r="H63" i="15"/>
  <c r="H68" i="15" s="1"/>
  <c r="H23" i="15" s="1"/>
  <c r="H25" i="15" s="1"/>
  <c r="I16" i="10" s="1"/>
  <c r="P15" i="6"/>
  <c r="J61" i="15" l="1"/>
  <c r="I63" i="15"/>
  <c r="I68" i="15" s="1"/>
  <c r="I23" i="15" s="1"/>
  <c r="I25" i="15" s="1"/>
  <c r="J16" i="10" s="1"/>
  <c r="F16" i="10"/>
  <c r="G23" i="15"/>
  <c r="D175" i="4"/>
  <c r="P110" i="6"/>
  <c r="D109" i="10"/>
  <c r="E15" i="10"/>
  <c r="F15" i="10" l="1"/>
  <c r="E109" i="10"/>
  <c r="D26" i="3"/>
  <c r="D179" i="4"/>
  <c r="D181" i="4" s="1"/>
  <c r="G25" i="15"/>
  <c r="K61" i="15"/>
  <c r="J63" i="15"/>
  <c r="L61" i="15" l="1"/>
  <c r="K63" i="15"/>
  <c r="K68" i="15" s="1"/>
  <c r="K23" i="15" s="1"/>
  <c r="K25" i="15" s="1"/>
  <c r="L16" i="10" s="1"/>
  <c r="G15" i="10"/>
  <c r="F109" i="10"/>
  <c r="H16" i="10"/>
  <c r="D20" i="2"/>
  <c r="D24" i="2" s="1"/>
  <c r="D26" i="2" s="1"/>
  <c r="D30" i="2" s="1"/>
  <c r="D31" i="3"/>
  <c r="D33" i="3" s="1"/>
  <c r="J68" i="15"/>
  <c r="H15" i="10" l="1"/>
  <c r="G109" i="10"/>
  <c r="J23" i="15"/>
  <c r="M61" i="15"/>
  <c r="L63" i="15"/>
  <c r="L68" i="15" s="1"/>
  <c r="L23" i="15" s="1"/>
  <c r="L25" i="15" s="1"/>
  <c r="M16" i="10" s="1"/>
  <c r="J25" i="15" l="1"/>
  <c r="N61" i="15"/>
  <c r="M63" i="15"/>
  <c r="M68" i="15" s="1"/>
  <c r="I15" i="10"/>
  <c r="H109" i="10"/>
  <c r="M23" i="15" l="1"/>
  <c r="M25" i="15" s="1"/>
  <c r="N16" i="10" s="1"/>
  <c r="N63" i="15"/>
  <c r="O61" i="15"/>
  <c r="J15" i="10"/>
  <c r="I109" i="10"/>
  <c r="K16" i="10"/>
  <c r="N68" i="15" l="1"/>
  <c r="O63" i="15"/>
  <c r="K15" i="10"/>
  <c r="J109" i="10"/>
  <c r="N23" i="15" l="1"/>
  <c r="O68" i="15"/>
  <c r="L15" i="10"/>
  <c r="K109" i="10"/>
  <c r="M15" i="10" l="1"/>
  <c r="L109" i="10"/>
  <c r="N25" i="15"/>
  <c r="O23" i="15"/>
  <c r="O16" i="10" l="1"/>
  <c r="P16" i="10" s="1"/>
  <c r="D172" i="5" s="1"/>
  <c r="K27" i="3" s="1"/>
  <c r="O25" i="15"/>
  <c r="M109" i="10"/>
  <c r="N15" i="10"/>
  <c r="O15" i="10" l="1"/>
  <c r="N109" i="10"/>
  <c r="O27" i="3"/>
  <c r="F21" i="2" s="1"/>
  <c r="J21" i="2" s="1"/>
  <c r="F27" i="3"/>
  <c r="O109" i="10" l="1"/>
  <c r="P15" i="10"/>
  <c r="D171" i="5" l="1"/>
  <c r="P109" i="10"/>
  <c r="O26" i="3" l="1"/>
  <c r="K26" i="3"/>
  <c r="D175" i="5"/>
  <c r="D177" i="5" s="1"/>
  <c r="F26" i="3" l="1"/>
  <c r="F31" i="3" s="1"/>
  <c r="F33" i="3" s="1"/>
  <c r="K31" i="3"/>
  <c r="K33" i="3" s="1"/>
  <c r="M26" i="3"/>
  <c r="M31" i="3" s="1"/>
  <c r="M33" i="3" s="1"/>
  <c r="F20" i="2"/>
  <c r="O31" i="3"/>
  <c r="O33" i="3" s="1"/>
  <c r="J20" i="2" l="1"/>
  <c r="J24" i="2" s="1"/>
  <c r="J26" i="2" s="1"/>
  <c r="J30" i="2" s="1"/>
  <c r="F24" i="2"/>
  <c r="F26" i="2" s="1"/>
  <c r="F30" i="2" s="1"/>
</calcChain>
</file>

<file path=xl/sharedStrings.xml><?xml version="1.0" encoding="utf-8"?>
<sst xmlns="http://schemas.openxmlformats.org/spreadsheetml/2006/main" count="1220" uniqueCount="396">
  <si>
    <t>FR 16(8)(c)                 SCHEDULE C</t>
  </si>
  <si>
    <t>Operating Income Summary</t>
  </si>
  <si>
    <t>Schedule</t>
  </si>
  <si>
    <t>Description</t>
  </si>
  <si>
    <t>C-1</t>
  </si>
  <si>
    <t>C-2</t>
  </si>
  <si>
    <t>Adjusted Operating Income</t>
  </si>
  <si>
    <t>C-2.1</t>
  </si>
  <si>
    <t xml:space="preserve">Operating Revenue and Expenses by FERC Account </t>
  </si>
  <si>
    <t>C-2.2</t>
  </si>
  <si>
    <t>Monthly Operating Income by FERC Account</t>
  </si>
  <si>
    <t>C-2.3</t>
  </si>
  <si>
    <t>Taxes Other than Income Tax by Sub-Account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</si>
  <si>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</si>
  <si>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</si>
  <si>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</si>
  <si>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</si>
  <si>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</si>
  <si>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</si>
  <si>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</si>
  <si>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</si>
  <si>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</si>
  <si>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</si>
  <si>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</si>
  <si>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</si>
  <si>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</si>
  <si>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</si>
  <si>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</si>
  <si>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</si>
  <si>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</si>
  <si>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</si>
  <si>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</si>
  <si>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</si>
  <si>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</si>
  <si>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</si>
  <si>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</si>
  <si>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</si>
  <si>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</si>
  <si>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</si>
  <si>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</si>
  <si>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</si>
  <si>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</si>
  <si>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</si>
  <si>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</si>
  <si>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</si>
  <si>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</si>
  <si>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</si>
  <si>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</si>
  <si>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</si>
  <si>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</si>
  <si>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</si>
  <si>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</si>
  <si>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</si>
  <si>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</si>
  <si>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</si>
  <si>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</si>
  <si>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</si>
  <si>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</si>
  <si>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</si>
  <si>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</si>
  <si>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</si>
  <si>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</si>
  <si>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</si>
  <si>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</si>
  <si>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</si>
  <si>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</si>
  <si>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</si>
  <si>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</si>
  <si>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</si>
  <si>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</si>
  <si>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</si>
  <si>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</si>
  <si>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</si>
  <si>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</si>
  <si>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</si>
  <si>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</si>
  <si>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</si>
  <si>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</si>
  <si>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</si>
  <si>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</si>
  <si>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</si>
  <si>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</si>
  <si>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</si>
  <si>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</si>
  <si>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</si>
  <si>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</si>
  <si>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</si>
  <si>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</si>
  <si>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</si>
  <si>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</si>
  <si>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</si>
  <si>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</si>
  <si>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</si>
  <si>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</si>
  <si>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</si>
  <si>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</si>
  <si>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</si>
  <si>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</si>
  <si>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</si>
  <si>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</si>
  <si>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</si>
  <si>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</si>
  <si>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</si>
  <si>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</si>
  <si>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</si>
  <si>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</si>
  <si>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</si>
  <si>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</si>
  <si>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</si>
  <si>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</si>
  <si>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</si>
  <si>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</si>
  <si>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</si>
  <si>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</si>
  <si>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</si>
  <si>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</si>
  <si>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</si>
  <si>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</si>
  <si>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</si>
  <si>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</si>
  <si>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</si>
  <si>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</si>
  <si>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</si>
  <si>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</si>
  <si>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</si>
  <si>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</si>
  <si>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</si>
  <si>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</si>
  <si>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</si>
  <si>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</si>
  <si>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</si>
  <si>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</si>
  <si>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</si>
  <si>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</si>
  <si>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</si>
  <si>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</si>
  <si>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</si>
  <si>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</si>
  <si>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</si>
  <si>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</si>
  <si>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</si>
  <si>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</si>
  <si>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</si>
  <si>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</si>
  <si>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</si>
  <si>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</si>
  <si>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</si>
  <si>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</si>
  <si>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</si>
  <si>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</si>
  <si>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</si>
  <si>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</si>
  <si>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</si>
  <si>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</si>
  <si>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</si>
  <si>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</si>
  <si>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</si>
  <si>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</si>
  <si>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</si>
  <si>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</si>
  <si>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</si>
  <si>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</si>
  <si>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</si>
  <si>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</si>
  <si>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</si>
  <si>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</si>
  <si>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</si>
  <si>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</si>
  <si>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</si>
  <si>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</si>
  <si>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</si>
  <si>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</si>
  <si>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</si>
  <si>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</si>
  <si>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</si>
  <si>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</si>
  <si>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</si>
  <si>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</si>
  <si>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</si>
  <si>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</si>
  <si>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</si>
  <si>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</si>
  <si>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</si>
  <si>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</si>
  <si>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</si>
  <si>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</si>
  <si>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</si>
  <si>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</si>
  <si>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</si>
  <si>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</si>
  <si>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</si>
  <si>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</si>
  <si>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</si>
  <si>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</si>
  <si>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</si>
  <si>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</si>
  <si>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</si>
  <si>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</si>
  <si>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</si>
  <si>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</si>
  <si>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</si>
  <si>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</si>
  <si>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</si>
  <si>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</si>
  <si>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</si>
  <si>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</si>
  <si>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</si>
  <si>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</si>
  <si>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</si>
  <si>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</si>
  <si>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</si>
  <si>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</si>
  <si>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</si>
  <si>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</si>
  <si>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</si>
  <si>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</si>
  <si>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</si>
  <si>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</si>
  <si>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</si>
  <si>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</si>
  <si>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</si>
  <si>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</si>
  <si>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Operating Revenue and Expenses by FERC Account</t>
  </si>
  <si>
    <t>Data:________Base Period___X____Forecasted Period</t>
  </si>
  <si>
    <t>Schedule C-2.1 F</t>
  </si>
  <si>
    <t>4893-4896</t>
  </si>
  <si>
    <t>Ng. Main. Supervision &amp; Engineering</t>
  </si>
  <si>
    <t>841/847</t>
  </si>
  <si>
    <t>Other Fuel &amp; Power for Compression</t>
  </si>
  <si>
    <t xml:space="preserve">      Other Gas Supply Expenses</t>
  </si>
  <si>
    <t>8950</t>
  </si>
  <si>
    <t>Maintenance of General Plant</t>
  </si>
  <si>
    <t>T O T A L  O P E R A T I N G  E X P E N S E</t>
  </si>
  <si>
    <t>N E T  O P E R A T I N G  I N C O M 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</si>
  <si>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</si>
  <si>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</si>
  <si>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</si>
  <si>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</si>
  <si>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</si>
  <si>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</si>
  <si>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</si>
  <si>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</si>
  <si>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</si>
  <si>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</si>
  <si>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</si>
  <si>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</si>
  <si>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</si>
  <si>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</si>
  <si>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</si>
  <si>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</si>
  <si>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</si>
  <si>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</si>
  <si>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</si>
  <si>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</si>
  <si>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</si>
  <si>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</si>
  <si>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</si>
  <si>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</si>
  <si>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</si>
  <si>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</si>
  <si>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</si>
  <si>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</si>
  <si>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</si>
  <si>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</si>
  <si>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</si>
  <si>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</si>
  <si>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</si>
  <si>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</si>
  <si>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</si>
  <si>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</si>
  <si>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</si>
  <si>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</si>
  <si>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</si>
  <si>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</si>
  <si>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</si>
  <si>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</si>
  <si>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</si>
  <si>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</si>
  <si>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</si>
  <si>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</si>
  <si>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</si>
  <si>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</si>
  <si>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</si>
  <si>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</si>
  <si>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</si>
  <si>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</si>
  <si>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</si>
  <si>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</si>
  <si>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</si>
  <si>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</si>
  <si>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</si>
  <si>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</si>
  <si>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</si>
  <si>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</si>
  <si>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</si>
  <si>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</si>
  <si>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</si>
  <si>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</si>
  <si>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</si>
  <si>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</si>
  <si>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</si>
  <si>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</si>
  <si>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</si>
  <si>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</si>
  <si>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</si>
  <si>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</si>
  <si>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</si>
  <si>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</si>
  <si>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</si>
  <si>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</si>
  <si>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</si>
  <si>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</si>
  <si>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</si>
  <si>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</si>
  <si>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</si>
  <si>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</si>
  <si>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</si>
  <si>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</si>
  <si>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</si>
  <si>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</si>
  <si>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</si>
  <si>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</si>
  <si>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</si>
  <si>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</si>
  <si>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</si>
  <si>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</si>
  <si>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</si>
  <si>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</si>
  <si>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</si>
  <si>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</si>
  <si>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</si>
  <si>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</si>
  <si>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</si>
  <si>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</si>
  <si>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</si>
  <si>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</si>
  <si>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</si>
  <si>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</si>
  <si>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</si>
  <si>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Customer accounts-Operation supervision</t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</si>
  <si>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</si>
  <si>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</si>
  <si>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</si>
  <si>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</si>
  <si>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</si>
  <si>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</si>
  <si>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</si>
  <si>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</si>
  <si>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</si>
  <si>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</si>
  <si>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</si>
  <si>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</si>
  <si>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Revenue-Transportation Commercial</t>
  </si>
  <si>
    <t>A&amp;G-Administrative &amp; General Salaries</t>
  </si>
  <si>
    <t>Gas Cost by FERC-Fall 2015.xlsx</t>
  </si>
  <si>
    <t>KY Revenue &amp; Billing Unit Forecast 2015 Case.xlsx</t>
  </si>
  <si>
    <t>Sales-Demonstrating and selling</t>
  </si>
  <si>
    <t>Distribution-Measuring and regulating station expenses-Genrl</t>
  </si>
  <si>
    <t>Account 4081-Taxes Other than Income Tax by Sub-Account</t>
  </si>
  <si>
    <t>FR 16(8)(c)2.3</t>
  </si>
  <si>
    <t>Schedule C-2.3 B</t>
  </si>
  <si>
    <t>Witness: Waller</t>
  </si>
  <si>
    <t>Discription</t>
  </si>
  <si>
    <t>Div 009</t>
  </si>
  <si>
    <t>FICA</t>
  </si>
  <si>
    <t>FUTA</t>
  </si>
  <si>
    <t>SUTA</t>
  </si>
  <si>
    <t>Payroll Tax Projects</t>
  </si>
  <si>
    <t>Ad Valorem - Accrual</t>
  </si>
  <si>
    <t>Dot Transmission User Tax</t>
  </si>
  <si>
    <t>Taxes Property and Other</t>
  </si>
  <si>
    <t>Public Service Commission Assessment</t>
  </si>
  <si>
    <t xml:space="preserve">Allocation for taxes other CSC </t>
  </si>
  <si>
    <t>Allocation from taxes other SS</t>
  </si>
  <si>
    <t>Allocation from taxes other Gen Office</t>
  </si>
  <si>
    <t>Div 002</t>
  </si>
  <si>
    <t>Ad Valorem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</si>
  <si>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</si>
  <si>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</si>
  <si>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</si>
  <si>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</si>
  <si>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</si>
  <si>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Div 012</t>
  </si>
  <si>
    <t>Div 091</t>
  </si>
  <si>
    <t>Occupational Licenses</t>
  </si>
  <si>
    <t>div 2</t>
  </si>
  <si>
    <t>div 12</t>
  </si>
  <si>
    <t>div 91</t>
  </si>
  <si>
    <t>Schedule C-2.3 F</t>
  </si>
  <si>
    <t>Total Allocated Amount from Div 2</t>
  </si>
  <si>
    <t>Total Allocated Amount from Div 12</t>
  </si>
  <si>
    <t>Total Allocated Amount from Div 91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</si>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</sst>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0.000000%"/>
    <numFmt numFmtId="174" formatCode="0.00_)"/>
  </numFmts>
  <fonts count="3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sz val="12"/>
      <color rgb="FF00B050"/>
      <name val="Helvetica-Narrow"/>
    </font>
    <font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i/>
      <sz val="16"/>
      <name val="Helv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9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0" fontId="26" fillId="2" borderId="0">
      <alignment horizontal="right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" fillId="0" borderId="0" applyProtection="0"/>
    <xf numFmtId="0" fontId="1" fillId="0" borderId="0"/>
    <xf numFmtId="0" fontId="1" fillId="0" borderId="0"/>
    <xf numFmtId="0" fontId="29" fillId="3" borderId="0">
      <alignment horizontal="center"/>
    </xf>
    <xf numFmtId="0" fontId="27" fillId="2" borderId="12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3">
    <xf numFmtId="37" fontId="0" fillId="0" borderId="0" xfId="0"/>
    <xf numFmtId="37" fontId="2" fillId="0" borderId="1" xfId="0" applyFont="1" applyBorder="1" applyAlignment="1">
      <alignment horizontal="center"/>
    </xf>
    <xf numFmtId="37" fontId="2" fillId="0" borderId="1" xfId="0" applyFont="1" applyFill="1" applyBorder="1" applyAlignment="1">
      <alignment horizontal="center"/>
    </xf>
    <xf numFmtId="37" fontId="2" fillId="0" borderId="1" xfId="0" applyFont="1" applyBorder="1"/>
    <xf numFmtId="37" fontId="2" fillId="0" borderId="0" xfId="0" applyFont="1" applyAlignment="1">
      <alignment horizontal="center"/>
    </xf>
    <xf numFmtId="37" fontId="2" fillId="0" borderId="0" xfId="0" applyFont="1" applyFill="1"/>
    <xf numFmtId="37" fontId="2" fillId="0" borderId="0" xfId="0" applyFont="1"/>
    <xf numFmtId="37" fontId="2" fillId="0" borderId="0" xfId="0" applyFont="1" applyAlignment="1">
      <alignment horizontal="left" indent="1"/>
    </xf>
    <xf numFmtId="37" fontId="2" fillId="0" borderId="0" xfId="0" applyFont="1" applyFill="1" applyAlignment="1">
      <alignment horizontal="center"/>
    </xf>
    <xf numFmtId="37" fontId="0" fillId="0" borderId="0" xfId="0" applyFill="1"/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2" xfId="0" applyFont="1" applyBorder="1" applyAlignment="1" applyProtection="1">
      <alignment horizontal="left"/>
    </xf>
    <xf numFmtId="37" fontId="2" fillId="0" borderId="2" xfId="0" applyFont="1" applyBorder="1"/>
    <xf numFmtId="37" fontId="2" fillId="0" borderId="2" xfId="0" applyFont="1" applyFill="1" applyBorder="1" applyAlignment="1" applyProtection="1">
      <alignment horizontal="right"/>
    </xf>
    <xf numFmtId="37" fontId="2" fillId="0" borderId="0" xfId="0" applyFont="1" applyAlignment="1" applyProtection="1">
      <alignment horizontal="center"/>
    </xf>
    <xf numFmtId="37" fontId="4" fillId="0" borderId="0" xfId="0" applyFont="1"/>
    <xf numFmtId="37" fontId="2" fillId="0" borderId="2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6" fillId="0" borderId="0" xfId="0" applyFont="1"/>
    <xf numFmtId="164" fontId="2" fillId="0" borderId="0" xfId="2" applyNumberFormat="1" applyFont="1" applyFill="1" applyProtection="1"/>
    <xf numFmtId="37" fontId="2" fillId="0" borderId="0" xfId="0" applyNumberFormat="1" applyFont="1" applyProtection="1"/>
    <xf numFmtId="164" fontId="2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2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2" fillId="0" borderId="0" xfId="0" applyFont="1" applyAlignment="1" applyProtection="1">
      <alignment horizontal="left" indent="1"/>
    </xf>
    <xf numFmtId="166" fontId="2" fillId="0" borderId="0" xfId="1" applyNumberFormat="1" applyFont="1" applyFill="1" applyProtection="1"/>
    <xf numFmtId="166" fontId="2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2" fillId="0" borderId="0" xfId="1" applyNumberFormat="1" applyFont="1" applyProtection="1"/>
    <xf numFmtId="167" fontId="2" fillId="0" borderId="0" xfId="0" applyNumberFormat="1" applyFont="1" applyProtection="1"/>
    <xf numFmtId="166" fontId="2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2" fillId="0" borderId="2" xfId="1" applyNumberFormat="1" applyFont="1" applyFill="1" applyBorder="1" applyProtection="1"/>
    <xf numFmtId="166" fontId="2" fillId="0" borderId="1" xfId="1" applyNumberFormat="1" applyFont="1" applyBorder="1" applyProtection="1"/>
    <xf numFmtId="164" fontId="2" fillId="0" borderId="3" xfId="2" applyNumberFormat="1" applyFont="1" applyBorder="1" applyProtection="1"/>
    <xf numFmtId="164" fontId="2" fillId="0" borderId="3" xfId="2" applyNumberFormat="1" applyFont="1" applyFill="1" applyBorder="1" applyProtection="1"/>
    <xf numFmtId="10" fontId="2" fillId="0" borderId="0" xfId="0" applyNumberFormat="1" applyFont="1" applyBorder="1" applyProtection="1"/>
    <xf numFmtId="10" fontId="2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2" fillId="0" borderId="0" xfId="0" applyFont="1" applyProtection="1"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right"/>
      <protection locked="0"/>
    </xf>
    <xf numFmtId="37" fontId="2" fillId="0" borderId="1" xfId="0" applyFont="1" applyBorder="1" applyAlignment="1" applyProtection="1">
      <alignment horizontal="left"/>
    </xf>
    <xf numFmtId="37" fontId="2" fillId="0" borderId="2" xfId="0" applyFont="1" applyBorder="1" applyAlignment="1" applyProtection="1">
      <alignment horizontal="left"/>
      <protection locked="0"/>
    </xf>
    <xf numFmtId="37" fontId="2" fillId="0" borderId="2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2" fillId="0" borderId="0" xfId="0" applyFont="1" applyAlignment="1" applyProtection="1">
      <alignment horizontal="center"/>
      <protection locked="0"/>
    </xf>
    <xf numFmtId="37" fontId="2" fillId="0" borderId="2" xfId="0" applyFont="1" applyBorder="1" applyAlignment="1" applyProtection="1">
      <alignment horizontal="center"/>
      <protection locked="0"/>
    </xf>
    <xf numFmtId="37" fontId="2" fillId="0" borderId="2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5" fillId="0" borderId="0" xfId="0" applyFont="1"/>
    <xf numFmtId="37" fontId="2" fillId="0" borderId="0" xfId="0" applyFont="1" applyFill="1" applyAlignment="1" applyProtection="1">
      <alignment horizontal="center"/>
    </xf>
    <xf numFmtId="37" fontId="2" fillId="0" borderId="4" xfId="0" applyFont="1" applyBorder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  <protection locked="0"/>
    </xf>
    <xf numFmtId="164" fontId="2" fillId="0" borderId="0" xfId="2" applyNumberFormat="1" applyFont="1" applyFill="1" applyProtection="1">
      <protection locked="0"/>
    </xf>
    <xf numFmtId="37" fontId="2" fillId="0" borderId="0" xfId="0" applyNumberFormat="1" applyFont="1" applyFill="1" applyAlignment="1" applyProtection="1">
      <alignment horizontal="center"/>
      <protection locked="0"/>
    </xf>
    <xf numFmtId="37" fontId="2" fillId="0" borderId="0" xfId="0" applyNumberFormat="1" applyFont="1" applyFill="1" applyProtection="1">
      <protection locked="0"/>
    </xf>
    <xf numFmtId="37" fontId="2" fillId="0" borderId="0" xfId="0" applyNumberFormat="1" applyFont="1" applyProtection="1">
      <protection locked="0"/>
    </xf>
    <xf numFmtId="168" fontId="2" fillId="0" borderId="0" xfId="0" applyNumberFormat="1" applyFont="1" applyAlignment="1">
      <alignment horizontal="center"/>
    </xf>
    <xf numFmtId="37" fontId="2" fillId="0" borderId="0" xfId="0" applyNumberFormat="1" applyFont="1" applyFill="1"/>
    <xf numFmtId="166" fontId="2" fillId="0" borderId="0" xfId="1" applyNumberFormat="1" applyFont="1" applyFill="1" applyProtection="1">
      <protection locked="0"/>
    </xf>
    <xf numFmtId="166" fontId="2" fillId="0" borderId="0" xfId="1" quotePrefix="1" applyNumberFormat="1" applyFont="1" applyFill="1" applyProtection="1"/>
    <xf numFmtId="37" fontId="10" fillId="0" borderId="0" xfId="0" applyFont="1"/>
    <xf numFmtId="37" fontId="2" fillId="0" borderId="0" xfId="0" applyFont="1" applyAlignment="1" applyProtection="1">
      <alignment horizontal="left" indent="1"/>
      <protection locked="0"/>
    </xf>
    <xf numFmtId="166" fontId="2" fillId="0" borderId="0" xfId="1" quotePrefix="1" applyNumberFormat="1" applyFont="1" applyFill="1" applyProtection="1">
      <protection locked="0"/>
    </xf>
    <xf numFmtId="37" fontId="2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2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2" fillId="0" borderId="2" xfId="0" applyNumberFormat="1" applyFont="1" applyBorder="1" applyProtection="1"/>
    <xf numFmtId="37" fontId="2" fillId="0" borderId="2" xfId="0" applyNumberFormat="1" applyFont="1" applyBorder="1" applyProtection="1">
      <protection locked="0"/>
    </xf>
    <xf numFmtId="37" fontId="2" fillId="0" borderId="1" xfId="0" applyNumberFormat="1" applyFont="1" applyBorder="1" applyProtection="1">
      <protection locked="0"/>
    </xf>
    <xf numFmtId="37" fontId="2" fillId="0" borderId="1" xfId="0" applyNumberFormat="1" applyFont="1" applyBorder="1" applyProtection="1"/>
    <xf numFmtId="37" fontId="2" fillId="0" borderId="0" xfId="0" applyNumberFormat="1" applyFont="1"/>
    <xf numFmtId="169" fontId="2" fillId="0" borderId="0" xfId="0" applyNumberFormat="1" applyFont="1" applyProtection="1"/>
    <xf numFmtId="37" fontId="2" fillId="0" borderId="0" xfId="0" applyNumberFormat="1" applyFont="1" applyAlignment="1" applyProtection="1">
      <alignment horizontal="center"/>
    </xf>
    <xf numFmtId="37" fontId="2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2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2" xfId="0" applyFont="1" applyBorder="1" applyAlignment="1" applyProtection="1">
      <alignment horizontal="left"/>
    </xf>
    <xf numFmtId="37" fontId="13" fillId="0" borderId="2" xfId="0" applyFont="1" applyBorder="1"/>
    <xf numFmtId="37" fontId="13" fillId="0" borderId="1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2" xfId="0" applyFont="1" applyBorder="1" applyAlignment="1" applyProtection="1">
      <alignment horizontal="left"/>
      <protection locked="0"/>
    </xf>
    <xf numFmtId="37" fontId="13" fillId="0" borderId="2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1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1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2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2" fillId="0" borderId="0" xfId="0" applyFont="1" applyFill="1" applyAlignment="1" applyProtection="1">
      <alignment horizontal="center"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2" fillId="0" borderId="0" xfId="0" applyFont="1" applyAlignment="1">
      <alignment horizontal="centerContinuous"/>
    </xf>
    <xf numFmtId="37" fontId="2" fillId="0" borderId="1" xfId="0" applyFont="1" applyBorder="1" applyAlignment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center"/>
      <protection locked="0"/>
    </xf>
    <xf numFmtId="37" fontId="5" fillId="0" borderId="0" xfId="0" applyFont="1" applyAlignment="1" applyProtection="1">
      <alignment horizontal="left"/>
      <protection locked="0"/>
    </xf>
    <xf numFmtId="10" fontId="2" fillId="0" borderId="0" xfId="3" applyNumberFormat="1" applyFont="1" applyBorder="1"/>
    <xf numFmtId="170" fontId="2" fillId="0" borderId="0" xfId="0" applyNumberFormat="1" applyFont="1" applyAlignment="1" applyProtection="1">
      <alignment horizontal="center"/>
      <protection locked="0"/>
    </xf>
    <xf numFmtId="37" fontId="2" fillId="0" borderId="0" xfId="0" applyFont="1" applyAlignment="1" applyProtection="1">
      <alignment horizontal="left" indent="2"/>
      <protection locked="0"/>
    </xf>
    <xf numFmtId="164" fontId="2" fillId="0" borderId="0" xfId="2" applyNumberFormat="1" applyFont="1" applyFill="1" applyBorder="1" applyProtection="1"/>
    <xf numFmtId="166" fontId="2" fillId="0" borderId="0" xfId="1" applyNumberFormat="1" applyFont="1" applyFill="1" applyBorder="1" applyProtection="1"/>
    <xf numFmtId="37" fontId="10" fillId="0" borderId="0" xfId="0" applyFont="1" applyBorder="1"/>
    <xf numFmtId="166" fontId="2" fillId="0" borderId="1" xfId="1" applyNumberFormat="1" applyFont="1" applyFill="1" applyBorder="1" applyProtection="1"/>
    <xf numFmtId="170" fontId="2" fillId="0" borderId="0" xfId="0" applyNumberFormat="1" applyFont="1" applyBorder="1" applyAlignment="1" applyProtection="1">
      <alignment horizontal="center"/>
      <protection locked="0"/>
    </xf>
    <xf numFmtId="37" fontId="2" fillId="0" borderId="0" xfId="0" applyFont="1" applyBorder="1" applyAlignment="1" applyProtection="1">
      <alignment horizontal="left" indent="2"/>
      <protection locked="0"/>
    </xf>
    <xf numFmtId="164" fontId="2" fillId="0" borderId="4" xfId="2" applyNumberFormat="1" applyFont="1" applyFill="1" applyBorder="1" applyProtection="1"/>
    <xf numFmtId="164" fontId="2" fillId="0" borderId="0" xfId="2" applyNumberFormat="1" applyFont="1"/>
    <xf numFmtId="37" fontId="5" fillId="0" borderId="0" xfId="0" applyFont="1" applyAlignment="1" applyProtection="1">
      <alignment horizontal="left" indent="1"/>
      <protection locked="0"/>
    </xf>
    <xf numFmtId="170" fontId="2" fillId="0" borderId="0" xfId="0" applyNumberFormat="1" applyFont="1" applyAlignment="1" applyProtection="1">
      <alignment horizontal="center"/>
    </xf>
    <xf numFmtId="164" fontId="2" fillId="0" borderId="1" xfId="2" applyNumberFormat="1" applyFont="1" applyFill="1" applyBorder="1" applyProtection="1"/>
    <xf numFmtId="168" fontId="2" fillId="0" borderId="0" xfId="0" applyNumberFormat="1" applyFont="1"/>
    <xf numFmtId="37" fontId="2" fillId="0" borderId="0" xfId="0" applyNumberFormat="1" applyFont="1" applyFill="1" applyBorder="1" applyProtection="1"/>
    <xf numFmtId="170" fontId="2" fillId="0" borderId="0" xfId="0" applyNumberFormat="1" applyFont="1" applyAlignment="1">
      <alignment horizontal="center"/>
    </xf>
    <xf numFmtId="37" fontId="2" fillId="0" borderId="0" xfId="0" applyFont="1" applyAlignment="1" applyProtection="1">
      <alignment horizontal="left" indent="2"/>
    </xf>
    <xf numFmtId="37" fontId="2" fillId="0" borderId="0" xfId="0" quotePrefix="1" applyFont="1" applyAlignment="1">
      <alignment horizontal="center"/>
    </xf>
    <xf numFmtId="37" fontId="2" fillId="0" borderId="1" xfId="0" applyNumberFormat="1" applyFont="1" applyFill="1" applyBorder="1" applyProtection="1"/>
    <xf numFmtId="37" fontId="0" fillId="0" borderId="0" xfId="0" applyFont="1" applyBorder="1" applyAlignment="1" applyProtection="1">
      <alignment horizontal="left" indent="1"/>
      <protection locked="0"/>
    </xf>
    <xf numFmtId="170" fontId="2" fillId="0" borderId="0" xfId="0" quotePrefix="1" applyNumberFormat="1" applyFont="1" applyAlignment="1" applyProtection="1">
      <alignment horizontal="center"/>
      <protection locked="0"/>
    </xf>
    <xf numFmtId="171" fontId="2" fillId="0" borderId="0" xfId="0" applyNumberFormat="1" applyFont="1" applyAlignment="1" applyProtection="1">
      <alignment horizontal="center"/>
      <protection locked="0"/>
    </xf>
    <xf numFmtId="37" fontId="2" fillId="0" borderId="0" xfId="0" applyFont="1" applyAlignment="1"/>
    <xf numFmtId="37" fontId="2" fillId="0" borderId="0" xfId="0" applyFont="1" applyAlignment="1" applyProtection="1">
      <protection locked="0"/>
    </xf>
    <xf numFmtId="164" fontId="2" fillId="0" borderId="5" xfId="2" applyNumberFormat="1" applyFont="1" applyFill="1" applyBorder="1" applyProtection="1"/>
    <xf numFmtId="37" fontId="2" fillId="0" borderId="0" xfId="0" applyFont="1" applyBorder="1" applyAlignment="1"/>
    <xf numFmtId="37" fontId="2" fillId="0" borderId="0" xfId="0" applyFont="1" applyFill="1" applyBorder="1"/>
    <xf numFmtId="37" fontId="2" fillId="0" borderId="0" xfId="0" applyFont="1" applyBorder="1" applyAlignment="1" applyProtection="1"/>
    <xf numFmtId="37" fontId="2" fillId="0" borderId="0" xfId="0" applyFont="1" applyAlignment="1" applyProtection="1"/>
    <xf numFmtId="37" fontId="18" fillId="0" borderId="0" xfId="0" applyFont="1" applyAlignment="1">
      <alignment horizontal="left"/>
    </xf>
    <xf numFmtId="37" fontId="2" fillId="2" borderId="0" xfId="0" applyFont="1" applyFill="1"/>
    <xf numFmtId="37" fontId="2" fillId="0" borderId="0" xfId="0" applyFont="1" applyFill="1" applyAlignment="1">
      <alignment horizontal="right"/>
    </xf>
    <xf numFmtId="37" fontId="2" fillId="0" borderId="0" xfId="0" applyFont="1" applyFill="1" applyAlignment="1" applyProtection="1">
      <alignment horizontal="right"/>
      <protection locked="0"/>
    </xf>
    <xf numFmtId="37" fontId="2" fillId="2" borderId="1" xfId="0" applyFont="1" applyFill="1" applyBorder="1"/>
    <xf numFmtId="37" fontId="2" fillId="0" borderId="2" xfId="0" applyFont="1" applyFill="1" applyBorder="1" applyAlignment="1" applyProtection="1">
      <alignment horizontal="right"/>
      <protection locked="0"/>
    </xf>
    <xf numFmtId="37" fontId="2" fillId="0" borderId="6" xfId="0" applyFont="1" applyBorder="1" applyAlignment="1">
      <alignment horizontal="center"/>
    </xf>
    <xf numFmtId="37" fontId="2" fillId="0" borderId="4" xfId="0" applyFont="1" applyBorder="1" applyAlignment="1">
      <alignment horizontal="center"/>
    </xf>
    <xf numFmtId="37" fontId="2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2" fillId="0" borderId="7" xfId="0" applyFont="1" applyBorder="1" applyAlignment="1">
      <alignment horizontal="center"/>
    </xf>
    <xf numFmtId="37" fontId="2" fillId="0" borderId="1" xfId="0" applyFont="1" applyBorder="1" applyAlignment="1" applyProtection="1">
      <alignment horizontal="center"/>
      <protection locked="0"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37" fontId="2" fillId="0" borderId="8" xfId="0" applyFont="1" applyBorder="1" applyAlignment="1">
      <alignment horizontal="center"/>
    </xf>
    <xf numFmtId="37" fontId="2" fillId="0" borderId="0" xfId="0" applyFont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2" fillId="0" borderId="0" xfId="0" applyNumberFormat="1" applyFont="1" applyFill="1" applyAlignment="1">
      <alignment horizontal="left"/>
    </xf>
    <xf numFmtId="37" fontId="20" fillId="0" borderId="0" xfId="0" applyFont="1" applyFill="1"/>
    <xf numFmtId="37" fontId="20" fillId="0" borderId="0" xfId="0" applyFont="1"/>
    <xf numFmtId="37" fontId="18" fillId="0" borderId="0" xfId="0" applyFont="1"/>
    <xf numFmtId="37" fontId="21" fillId="0" borderId="0" xfId="0" applyFont="1"/>
    <xf numFmtId="170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>
      <alignment horizontal="center"/>
    </xf>
    <xf numFmtId="170" fontId="2" fillId="0" borderId="0" xfId="0" applyNumberFormat="1" applyFont="1" applyAlignment="1" applyProtection="1">
      <alignment horizontal="left"/>
      <protection locked="0"/>
    </xf>
    <xf numFmtId="37" fontId="13" fillId="0" borderId="0" xfId="0" applyNumberFormat="1" applyFont="1" applyFill="1" applyBorder="1" applyProtection="1">
      <protection locked="0"/>
    </xf>
    <xf numFmtId="37" fontId="2" fillId="0" borderId="0" xfId="0" quotePrefix="1" applyFont="1"/>
    <xf numFmtId="37" fontId="17" fillId="0" borderId="0" xfId="0" applyNumberFormat="1" applyFont="1" applyFill="1" applyBorder="1" applyProtection="1">
      <protection locked="0"/>
    </xf>
    <xf numFmtId="43" fontId="22" fillId="0" borderId="0" xfId="1" applyFont="1"/>
    <xf numFmtId="43" fontId="22" fillId="0" borderId="0" xfId="1" applyFont="1" applyFill="1"/>
    <xf numFmtId="5" fontId="2" fillId="0" borderId="3" xfId="0" applyNumberFormat="1" applyFont="1" applyBorder="1"/>
    <xf numFmtId="166" fontId="2" fillId="0" borderId="3" xfId="0" applyNumberFormat="1" applyFont="1" applyBorder="1"/>
    <xf numFmtId="5" fontId="2" fillId="0" borderId="0" xfId="0" applyNumberFormat="1" applyFont="1" applyBorder="1"/>
    <xf numFmtId="10" fontId="2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5" fillId="0" borderId="0" xfId="0" applyFont="1" applyAlignment="1">
      <alignment horizontal="centerContinuous"/>
    </xf>
    <xf numFmtId="37" fontId="23" fillId="0" borderId="0" xfId="0" applyFont="1"/>
    <xf numFmtId="37" fontId="10" fillId="0" borderId="0" xfId="0" applyFont="1" applyAlignment="1">
      <alignment horizontal="left"/>
    </xf>
    <xf numFmtId="37" fontId="2" fillId="0" borderId="9" xfId="0" applyFont="1" applyBorder="1" applyAlignment="1" applyProtection="1">
      <alignment horizontal="center"/>
      <protection locked="0"/>
    </xf>
    <xf numFmtId="17" fontId="2" fillId="0" borderId="8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0" fontId="22" fillId="0" borderId="0" xfId="4" applyFont="1"/>
    <xf numFmtId="166" fontId="2" fillId="0" borderId="0" xfId="1" applyNumberFormat="1" applyFont="1" applyFill="1" applyAlignment="1">
      <alignment horizontal="center"/>
    </xf>
    <xf numFmtId="37" fontId="2" fillId="0" borderId="0" xfId="0" applyFont="1" applyFill="1" applyAlignment="1">
      <alignment horizontal="left" indent="1"/>
    </xf>
    <xf numFmtId="10" fontId="2" fillId="0" borderId="1" xfId="3" applyNumberFormat="1" applyFont="1" applyFill="1" applyBorder="1"/>
    <xf numFmtId="37" fontId="2" fillId="0" borderId="0" xfId="0" applyFont="1" applyFill="1" applyBorder="1" applyAlignment="1">
      <alignment horizontal="right"/>
    </xf>
    <xf numFmtId="43" fontId="2" fillId="0" borderId="0" xfId="1" applyFont="1"/>
    <xf numFmtId="10" fontId="2" fillId="0" borderId="0" xfId="3" applyNumberFormat="1" applyFont="1" applyFill="1"/>
    <xf numFmtId="37" fontId="2" fillId="0" borderId="0" xfId="0" applyFont="1" applyFill="1" applyAlignment="1">
      <alignment horizontal="centerContinuous"/>
    </xf>
    <xf numFmtId="5" fontId="2" fillId="0" borderId="3" xfId="0" applyNumberFormat="1" applyFont="1" applyFill="1" applyBorder="1"/>
    <xf numFmtId="0" fontId="2" fillId="0" borderId="0" xfId="0" applyNumberFormat="1" applyFont="1" applyFill="1" applyAlignment="1">
      <alignment horizontal="left"/>
    </xf>
    <xf numFmtId="166" fontId="2" fillId="0" borderId="0" xfId="1" applyNumberFormat="1" applyFont="1" applyFill="1" applyAlignment="1">
      <alignment horizontal="left"/>
    </xf>
    <xf numFmtId="5" fontId="24" fillId="0" borderId="0" xfId="1" applyNumberFormat="1" applyFont="1" applyBorder="1"/>
    <xf numFmtId="5" fontId="2" fillId="0" borderId="0" xfId="0" applyNumberFormat="1" applyFont="1" applyFill="1" applyBorder="1"/>
    <xf numFmtId="37" fontId="0" fillId="0" borderId="0" xfId="0" quotePrefix="1" applyFont="1"/>
    <xf numFmtId="0" fontId="2" fillId="0" borderId="0" xfId="0" quotePrefix="1" applyNumberFormat="1" applyFont="1" applyAlignment="1">
      <alignment horizontal="center"/>
    </xf>
    <xf numFmtId="169" fontId="24" fillId="0" borderId="0" xfId="3" applyNumberFormat="1" applyFont="1" applyFill="1"/>
    <xf numFmtId="39" fontId="2" fillId="0" borderId="0" xfId="0" applyNumberFormat="1" applyFont="1" applyAlignment="1">
      <alignment horizontal="center"/>
    </xf>
    <xf numFmtId="39" fontId="0" fillId="0" borderId="0" xfId="0" applyNumberFormat="1"/>
    <xf numFmtId="39" fontId="2" fillId="0" borderId="0" xfId="0" applyNumberFormat="1" applyFont="1"/>
    <xf numFmtId="39" fontId="10" fillId="0" borderId="0" xfId="0" applyNumberFormat="1" applyFont="1"/>
    <xf numFmtId="37" fontId="0" fillId="0" borderId="4" xfId="0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Fill="1" applyAlignment="1" applyProtection="1">
      <alignment horizontal="left"/>
      <protection locked="0"/>
    </xf>
    <xf numFmtId="170" fontId="2" fillId="0" borderId="0" xfId="0" applyNumberFormat="1" applyFont="1" applyAlignment="1">
      <alignment horizontal="left"/>
    </xf>
    <xf numFmtId="37" fontId="25" fillId="0" borderId="0" xfId="0" applyFont="1"/>
    <xf numFmtId="168" fontId="0" fillId="0" borderId="0" xfId="0" applyNumberFormat="1"/>
    <xf numFmtId="37" fontId="10" fillId="0" borderId="0" xfId="0" quotePrefix="1" applyFont="1" applyFill="1"/>
    <xf numFmtId="37" fontId="0" fillId="0" borderId="0" xfId="0" applyAlignment="1">
      <alignment horizontal="right"/>
    </xf>
    <xf numFmtId="37" fontId="2" fillId="0" borderId="1" xfId="0" applyFont="1" applyFill="1" applyBorder="1"/>
    <xf numFmtId="37" fontId="2" fillId="0" borderId="6" xfId="0" applyFont="1" applyBorder="1"/>
    <xf numFmtId="37" fontId="2" fillId="0" borderId="4" xfId="0" applyFont="1" applyBorder="1"/>
    <xf numFmtId="37" fontId="2" fillId="0" borderId="4" xfId="0" applyFont="1" applyBorder="1" applyAlignment="1" applyProtection="1">
      <alignment horizontal="left"/>
      <protection locked="0"/>
    </xf>
    <xf numFmtId="37" fontId="2" fillId="0" borderId="7" xfId="0" applyFont="1" applyBorder="1"/>
    <xf numFmtId="37" fontId="2" fillId="0" borderId="1" xfId="0" applyFont="1" applyBorder="1" applyAlignment="1" applyProtection="1">
      <alignment horizontal="left"/>
      <protection locked="0"/>
    </xf>
    <xf numFmtId="10" fontId="2" fillId="0" borderId="1" xfId="3" applyNumberFormat="1" applyFont="1" applyBorder="1"/>
    <xf numFmtId="167" fontId="2" fillId="0" borderId="0" xfId="3" applyNumberFormat="1" applyFont="1"/>
    <xf numFmtId="10" fontId="2" fillId="0" borderId="0" xfId="3" applyNumberFormat="1" applyFont="1" applyFill="1" applyBorder="1"/>
    <xf numFmtId="173" fontId="2" fillId="0" borderId="0" xfId="3" applyNumberFormat="1" applyFont="1"/>
    <xf numFmtId="10" fontId="2" fillId="2" borderId="1" xfId="3" applyNumberFormat="1" applyFont="1" applyFill="1" applyBorder="1"/>
    <xf numFmtId="10" fontId="2" fillId="2" borderId="0" xfId="3" applyNumberFormat="1" applyFont="1" applyFill="1" applyBorder="1"/>
    <xf numFmtId="169" fontId="24" fillId="0" borderId="0" xfId="3" applyNumberFormat="1" applyFont="1"/>
    <xf numFmtId="37" fontId="19" fillId="0" borderId="0" xfId="0" applyFont="1" applyFill="1" applyBorder="1" applyAlignment="1">
      <alignment horizontal="centerContinuous"/>
    </xf>
    <xf numFmtId="37" fontId="2" fillId="0" borderId="0" xfId="0" applyFont="1" applyFill="1" applyAlignment="1" applyProtection="1">
      <alignment horizontal="left"/>
    </xf>
    <xf numFmtId="37" fontId="2" fillId="0" borderId="1" xfId="0" applyFont="1" applyFill="1" applyBorder="1" applyAlignment="1" applyProtection="1">
      <alignment horizontal="left"/>
    </xf>
    <xf numFmtId="37" fontId="2" fillId="0" borderId="2" xfId="0" applyFont="1" applyFill="1" applyBorder="1"/>
    <xf numFmtId="37" fontId="2" fillId="0" borderId="6" xfId="0" applyFont="1" applyFill="1" applyBorder="1"/>
    <xf numFmtId="37" fontId="2" fillId="0" borderId="11" xfId="0" applyFont="1" applyFill="1" applyBorder="1" applyAlignment="1" applyProtection="1">
      <alignment horizontal="center"/>
      <protection locked="0"/>
    </xf>
    <xf numFmtId="37" fontId="2" fillId="0" borderId="7" xfId="0" applyFont="1" applyFill="1" applyBorder="1"/>
    <xf numFmtId="37" fontId="2" fillId="0" borderId="2" xfId="0" applyFont="1" applyFill="1" applyBorder="1" applyAlignment="1" applyProtection="1">
      <alignment horizontal="left"/>
      <protection locked="0"/>
    </xf>
    <xf numFmtId="37" fontId="3" fillId="0" borderId="0" xfId="0" applyFont="1" applyFill="1" applyBorder="1" applyAlignment="1" applyProtection="1">
      <alignment horizontal="left"/>
    </xf>
    <xf numFmtId="164" fontId="2" fillId="0" borderId="0" xfId="2" applyNumberFormat="1" applyFont="1" applyFill="1"/>
    <xf numFmtId="9" fontId="2" fillId="0" borderId="0" xfId="3" applyFont="1"/>
    <xf numFmtId="164" fontId="2" fillId="0" borderId="11" xfId="2" applyNumberFormat="1" applyFont="1" applyFill="1" applyBorder="1"/>
    <xf numFmtId="164" fontId="2" fillId="0" borderId="11" xfId="2" applyNumberFormat="1" applyFont="1" applyBorder="1"/>
    <xf numFmtId="166" fontId="2" fillId="0" borderId="0" xfId="1" applyNumberFormat="1" applyFont="1" applyFill="1" applyAlignment="1">
      <alignment horizontal="right"/>
    </xf>
    <xf numFmtId="37" fontId="2" fillId="0" borderId="0" xfId="0" applyFont="1" applyFill="1" applyBorder="1" applyAlignment="1">
      <alignment horizontal="centerContinuous"/>
    </xf>
    <xf numFmtId="37" fontId="2" fillId="0" borderId="2" xfId="0" applyFont="1" applyBorder="1" applyAlignment="1" applyProtection="1">
      <protection locked="0"/>
    </xf>
    <xf numFmtId="172" fontId="2" fillId="0" borderId="8" xfId="0" applyNumberFormat="1" applyFont="1" applyFill="1" applyBorder="1" applyAlignment="1" applyProtection="1">
      <alignment horizontal="center"/>
      <protection locked="0"/>
    </xf>
    <xf numFmtId="166" fontId="10" fillId="0" borderId="0" xfId="1" applyNumberFormat="1" applyFont="1" applyFill="1"/>
    <xf numFmtId="9" fontId="10" fillId="0" borderId="0" xfId="3" applyFont="1"/>
    <xf numFmtId="167" fontId="10" fillId="0" borderId="0" xfId="3" applyNumberFormat="1" applyFont="1"/>
    <xf numFmtId="166" fontId="2" fillId="0" borderId="11" xfId="1" applyNumberFormat="1" applyFont="1" applyFill="1" applyBorder="1"/>
    <xf numFmtId="9" fontId="2" fillId="0" borderId="0" xfId="3" applyFont="1" applyFill="1"/>
    <xf numFmtId="40" fontId="27" fillId="2" borderId="0" xfId="5" applyFont="1" applyBorder="1" applyAlignment="1">
      <alignment horizontal="left"/>
    </xf>
    <xf numFmtId="37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37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2" fillId="0" borderId="0" xfId="0" applyFont="1" applyFill="1" applyAlignment="1" applyProtection="1">
      <alignment horizontal="center"/>
      <protection locked="0"/>
    </xf>
  </cellXfs>
  <cellStyles count="29">
    <cellStyle name="Comma" xfId="1" builtinId="3"/>
    <cellStyle name="Comma [0] 2" xfId="6"/>
    <cellStyle name="Comma 2" xfId="7"/>
    <cellStyle name="Comma 3" xfId="8"/>
    <cellStyle name="Comma 4" xfId="9"/>
    <cellStyle name="Currency" xfId="2" builtinId="4"/>
    <cellStyle name="Currency [0] 2" xfId="10"/>
    <cellStyle name="Currency 2" xfId="11"/>
    <cellStyle name="Currency 3" xfId="12"/>
    <cellStyle name="Currency 4" xfId="13"/>
    <cellStyle name="Normal" xfId="0" builtinId="0"/>
    <cellStyle name="Normal - Style1" xfId="14"/>
    <cellStyle name="Normal 2" xfId="15"/>
    <cellStyle name="Normal 2 2" xfId="16"/>
    <cellStyle name="Normal 3" xfId="17"/>
    <cellStyle name="Normal 3 2" xfId="18"/>
    <cellStyle name="Normal 4" xfId="19"/>
    <cellStyle name="Normal 5" xfId="20"/>
    <cellStyle name="Normal 6" xfId="21"/>
    <cellStyle name="Normal_C.2.2 B" xfId="4"/>
    <cellStyle name="Output Amounts" xfId="5"/>
    <cellStyle name="Output Column Headings" xfId="22"/>
    <cellStyle name="Output Line Items" xfId="23"/>
    <cellStyle name="Output Report Heading" xfId="24"/>
    <cellStyle name="Output Report Title" xfId="25"/>
    <cellStyle name="Percent" xfId="3" builtinId="5"/>
    <cellStyle name="Percent 2" xfId="26"/>
    <cellStyle name="Percent 3" xfId="27"/>
    <cellStyle name="Percent 7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90" zoomScaleNormal="100" zoomScaleSheetLayoutView="90" workbookViewId="0">
      <selection activeCell="A22" sqref="A22"/>
    </sheetView>
  </sheetViews>
  <sheetFormatPr defaultRowHeight="15"/>
  <cols>
    <col min="1" max="1" width="13.109375" customWidth="1"/>
    <col min="3" max="3" width="51.21875" customWidth="1"/>
  </cols>
  <sheetData>
    <row r="1" spans="1:3">
      <c r="A1" s="306" t="s">
        <v>392</v>
      </c>
      <c r="B1" s="306"/>
      <c r="C1" s="306"/>
    </row>
    <row r="2" spans="1:3">
      <c r="A2" s="306" t="s">
        <v>393</v>
      </c>
      <c r="B2" s="306"/>
      <c r="C2" s="306"/>
    </row>
    <row r="3" spans="1:3">
      <c r="A3" s="306" t="s">
        <v>394</v>
      </c>
      <c r="B3" s="306"/>
      <c r="C3" s="306"/>
    </row>
    <row r="4" spans="1:3">
      <c r="A4" s="306" t="s">
        <v>395</v>
      </c>
      <c r="B4" s="306"/>
      <c r="C4" s="306"/>
    </row>
    <row r="9" spans="1:3" ht="15.75">
      <c r="A9" s="307" t="s">
        <v>0</v>
      </c>
      <c r="B9" s="307"/>
      <c r="C9" s="307"/>
    </row>
    <row r="11" spans="1:3" ht="15.75">
      <c r="A11" s="308" t="s">
        <v>1</v>
      </c>
      <c r="B11" s="308"/>
      <c r="C11" s="308"/>
    </row>
    <row r="14" spans="1:3">
      <c r="A14" s="1" t="s">
        <v>2</v>
      </c>
      <c r="B14" s="2"/>
      <c r="C14" s="3" t="s">
        <v>3</v>
      </c>
    </row>
    <row r="15" spans="1:3">
      <c r="A15" s="4"/>
      <c r="B15" s="5"/>
      <c r="C15" s="6"/>
    </row>
    <row r="16" spans="1:3">
      <c r="A16" s="7" t="s">
        <v>4</v>
      </c>
      <c r="B16" s="8"/>
      <c r="C16" s="6" t="s">
        <v>1</v>
      </c>
    </row>
    <row r="17" spans="1:3">
      <c r="A17" s="7" t="s">
        <v>5</v>
      </c>
      <c r="B17" s="8"/>
      <c r="C17" s="6" t="s">
        <v>6</v>
      </c>
    </row>
    <row r="18" spans="1:3">
      <c r="A18" s="7" t="s">
        <v>7</v>
      </c>
      <c r="B18" s="8"/>
      <c r="C18" s="6" t="s">
        <v>8</v>
      </c>
    </row>
    <row r="19" spans="1:3">
      <c r="A19" s="7" t="s">
        <v>9</v>
      </c>
      <c r="B19" s="8"/>
      <c r="C19" s="6" t="s">
        <v>10</v>
      </c>
    </row>
    <row r="20" spans="1:3">
      <c r="A20" s="7" t="s">
        <v>11</v>
      </c>
      <c r="B20" s="8"/>
      <c r="C20" t="s">
        <v>12</v>
      </c>
    </row>
    <row r="21" spans="1:3">
      <c r="B21" s="9"/>
    </row>
  </sheetData>
  <mergeCells count="6">
    <mergeCell ref="A11:C11"/>
    <mergeCell ref="A1:C1"/>
    <mergeCell ref="A2:C2"/>
    <mergeCell ref="A3:C3"/>
    <mergeCell ref="A4:C4"/>
    <mergeCell ref="A9:C9"/>
  </mergeCells>
  <printOptions horizontalCentered="1"/>
  <pageMargins left="0.75" right="0.75" top="1" bottom="1" header="0.25" footer="0.5"/>
  <pageSetup scale="91" orientation="portrait" r:id="rId1"/>
  <headerFooter alignWithMargins="0">
    <oddHeader xml:space="preserve">&amp;R&amp;9CASE NO. 2015-00343
FR_16(8)(c)
ATTACHMENT 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view="pageBreakPreview" zoomScale="60" zoomScaleNormal="75" workbookViewId="0">
      <pane xSplit="3" ySplit="10" topLeftCell="D11" activePane="bottomRight" state="frozen"/>
      <selection activeCell="C19" sqref="C19"/>
      <selection pane="topRight" activeCell="C19" sqref="C19"/>
      <selection pane="bottomLeft" activeCell="C19" sqref="C19"/>
      <selection pane="bottomRight" activeCell="D11" sqref="D11"/>
    </sheetView>
  </sheetViews>
  <sheetFormatPr defaultColWidth="7.109375" defaultRowHeight="15"/>
  <cols>
    <col min="1" max="1" width="4.6640625" customWidth="1"/>
    <col min="2" max="2" width="9.109375" customWidth="1"/>
    <col min="3" max="3" width="62.77734375" customWidth="1"/>
    <col min="4" max="4" width="12.44140625" bestFit="1" customWidth="1"/>
    <col min="5" max="5" width="11.88671875" customWidth="1"/>
    <col min="6" max="6" width="11.109375" customWidth="1"/>
    <col min="7" max="7" width="11.77734375" bestFit="1" customWidth="1"/>
    <col min="8" max="8" width="12.109375" customWidth="1"/>
    <col min="9" max="9" width="15.21875" customWidth="1"/>
    <col min="10" max="10" width="12.5546875" customWidth="1"/>
    <col min="11" max="11" width="12.109375" customWidth="1"/>
    <col min="12" max="13" width="12.44140625" bestFit="1" customWidth="1"/>
    <col min="14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20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  <c r="R1" s="6"/>
      <c r="S1" s="6"/>
    </row>
    <row r="2" spans="1:20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R2" s="6"/>
      <c r="S2" s="6"/>
    </row>
    <row r="3" spans="1:20">
      <c r="A3" s="310" t="s">
        <v>234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  <c r="R3" s="6"/>
      <c r="S3" s="6"/>
    </row>
    <row r="4" spans="1:20">
      <c r="A4" s="310" t="s">
        <v>395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  <c r="R4" s="6"/>
      <c r="S4" s="6"/>
    </row>
    <row r="5" spans="1:20">
      <c r="A5" s="4"/>
      <c r="B5" s="4"/>
      <c r="C5" s="4"/>
      <c r="D5" s="258"/>
      <c r="E5" s="259"/>
      <c r="F5" s="258"/>
      <c r="G5" s="260"/>
      <c r="H5" s="260"/>
      <c r="I5" s="260"/>
      <c r="J5" s="260"/>
      <c r="K5" s="260"/>
      <c r="L5" s="258"/>
      <c r="M5" s="261"/>
      <c r="N5" s="258"/>
      <c r="O5" s="259"/>
      <c r="P5" s="4"/>
      <c r="Q5" s="6"/>
      <c r="R5" s="6"/>
      <c r="S5" s="6"/>
    </row>
    <row r="6" spans="1:20">
      <c r="A6" s="11" t="str">
        <f>'C.2.1 F'!A6</f>
        <v>Data:________Base Period___X____Forecasted Period</v>
      </c>
      <c r="B6" s="6"/>
      <c r="C6" s="19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195" t="s">
        <v>235</v>
      </c>
      <c r="Q6" s="6"/>
      <c r="R6" s="6"/>
      <c r="S6" s="6"/>
    </row>
    <row r="7" spans="1:20">
      <c r="A7" s="11" t="str">
        <f>'C.2.1 F'!A7</f>
        <v>Type of Filing:___X____Original________Updated ________Revised</v>
      </c>
      <c r="B7" s="6"/>
      <c r="C7" s="19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96" t="s">
        <v>236</v>
      </c>
      <c r="Q7" s="6"/>
      <c r="R7" s="6"/>
      <c r="S7" s="6"/>
    </row>
    <row r="8" spans="1:20">
      <c r="A8" s="59" t="str">
        <f>'C.2.1 F'!A8</f>
        <v>Workpaper Reference No(s).____________________</v>
      </c>
      <c r="B8" s="6"/>
      <c r="C8" s="194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98" t="str">
        <f>'C.2.2 B 09'!P8</f>
        <v>Witness: Waller, Smith</v>
      </c>
      <c r="Q8" s="6"/>
      <c r="R8" s="6"/>
      <c r="S8" s="6"/>
    </row>
    <row r="9" spans="1:20">
      <c r="A9" s="199" t="s">
        <v>21</v>
      </c>
      <c r="B9" s="200" t="s">
        <v>237</v>
      </c>
      <c r="C9" s="201"/>
      <c r="D9" s="262" t="s">
        <v>20</v>
      </c>
      <c r="E9" s="204" t="s">
        <v>20</v>
      </c>
      <c r="F9" s="204" t="s">
        <v>20</v>
      </c>
      <c r="G9" s="204" t="s">
        <v>20</v>
      </c>
      <c r="H9" s="204" t="s">
        <v>20</v>
      </c>
      <c r="I9" s="204" t="s">
        <v>20</v>
      </c>
      <c r="J9" s="204" t="s">
        <v>20</v>
      </c>
      <c r="K9" s="204" t="s">
        <v>20</v>
      </c>
      <c r="L9" s="204" t="s">
        <v>20</v>
      </c>
      <c r="M9" s="204" t="s">
        <v>20</v>
      </c>
      <c r="N9" s="204" t="s">
        <v>20</v>
      </c>
      <c r="O9" s="204" t="s">
        <v>20</v>
      </c>
      <c r="P9" s="263"/>
      <c r="Q9" s="4"/>
      <c r="R9" s="4"/>
      <c r="S9" s="4"/>
    </row>
    <row r="10" spans="1:20">
      <c r="A10" s="205" t="s">
        <v>24</v>
      </c>
      <c r="B10" s="1" t="s">
        <v>24</v>
      </c>
      <c r="C10" s="206" t="s">
        <v>240</v>
      </c>
      <c r="D10" s="207">
        <v>42551</v>
      </c>
      <c r="E10" s="207">
        <v>42582</v>
      </c>
      <c r="F10" s="207">
        <v>42613</v>
      </c>
      <c r="G10" s="207">
        <v>42643</v>
      </c>
      <c r="H10" s="207">
        <v>42674</v>
      </c>
      <c r="I10" s="207">
        <v>42704</v>
      </c>
      <c r="J10" s="207">
        <v>42735</v>
      </c>
      <c r="K10" s="207">
        <v>42766</v>
      </c>
      <c r="L10" s="207">
        <v>42794</v>
      </c>
      <c r="M10" s="207">
        <v>42825</v>
      </c>
      <c r="N10" s="207">
        <v>42855</v>
      </c>
      <c r="O10" s="207">
        <v>42886</v>
      </c>
      <c r="P10" s="209" t="s">
        <v>241</v>
      </c>
      <c r="Q10" s="210"/>
      <c r="R10" s="4"/>
      <c r="S10" s="4"/>
    </row>
    <row r="11" spans="1:20">
      <c r="A11" s="6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  <c r="R11" s="6"/>
      <c r="S11" s="6"/>
    </row>
    <row r="12" spans="1:20">
      <c r="A12" s="4">
        <v>1</v>
      </c>
      <c r="B12" s="144">
        <v>4091</v>
      </c>
      <c r="C12" s="264" t="s">
        <v>219</v>
      </c>
      <c r="D12" s="134">
        <v>928720.31746022124</v>
      </c>
      <c r="E12" s="134">
        <v>928720.31746022124</v>
      </c>
      <c r="F12" s="134">
        <v>928720.31746022124</v>
      </c>
      <c r="G12" s="134">
        <v>928720.31746022124</v>
      </c>
      <c r="H12" s="134">
        <v>928720.31746022124</v>
      </c>
      <c r="I12" s="134">
        <v>928720.31746022124</v>
      </c>
      <c r="J12" s="134">
        <v>928720.31746022124</v>
      </c>
      <c r="K12" s="134">
        <v>928720.31746022124</v>
      </c>
      <c r="L12" s="134">
        <v>928720.31746022124</v>
      </c>
      <c r="M12" s="134">
        <v>928720.31746022124</v>
      </c>
      <c r="N12" s="134">
        <v>928720.31746022124</v>
      </c>
      <c r="O12" s="134">
        <v>928720.31746022124</v>
      </c>
      <c r="P12" s="5">
        <f>SUM(D12:O12)</f>
        <v>11144643.809522655</v>
      </c>
      <c r="Q12" s="79"/>
      <c r="S12" s="79"/>
    </row>
    <row r="13" spans="1:20">
      <c r="A13" s="4">
        <f>A12+1</f>
        <v>2</v>
      </c>
      <c r="B13" s="144"/>
      <c r="C13" s="57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5"/>
      <c r="Q13" s="6"/>
      <c r="S13" s="6"/>
    </row>
    <row r="14" spans="1:20">
      <c r="A14" s="4">
        <f t="shared" ref="A14:A77" si="0">A13+1</f>
        <v>3</v>
      </c>
      <c r="B14" s="144">
        <v>4030</v>
      </c>
      <c r="C14" s="6" t="s">
        <v>70</v>
      </c>
      <c r="D14" s="116">
        <v>1616334.9605339218</v>
      </c>
      <c r="E14" s="116">
        <v>1616334.9605339218</v>
      </c>
      <c r="F14" s="116">
        <v>1616334.9605339218</v>
      </c>
      <c r="G14" s="116">
        <v>1616334.9605339218</v>
      </c>
      <c r="H14" s="116">
        <v>1616334.9605339218</v>
      </c>
      <c r="I14" s="116">
        <v>1616334.9605339218</v>
      </c>
      <c r="J14" s="116">
        <v>1616334.9605339218</v>
      </c>
      <c r="K14" s="116">
        <v>1616334.9605339218</v>
      </c>
      <c r="L14" s="116">
        <v>1616334.9605339218</v>
      </c>
      <c r="M14" s="116">
        <v>1616334.9605339218</v>
      </c>
      <c r="N14" s="116">
        <v>1616334.9605339218</v>
      </c>
      <c r="O14" s="116">
        <v>1616334.9605339218</v>
      </c>
      <c r="P14" s="5">
        <f t="shared" ref="P14:P23" si="1">SUM(D14:O14)</f>
        <v>19396019.526407063</v>
      </c>
      <c r="Q14" s="79"/>
      <c r="S14" s="79"/>
    </row>
    <row r="15" spans="1:20">
      <c r="A15" s="4">
        <f t="shared" si="0"/>
        <v>4</v>
      </c>
      <c r="B15" s="144">
        <v>4060</v>
      </c>
      <c r="C15" s="6" t="s">
        <v>244</v>
      </c>
      <c r="D15" s="116">
        <f>'C.2.2 B 09'!O15</f>
        <v>4037.2</v>
      </c>
      <c r="E15" s="116">
        <f>D15</f>
        <v>4037.2</v>
      </c>
      <c r="F15" s="116">
        <f t="shared" ref="F15:O15" si="2">E15</f>
        <v>4037.2</v>
      </c>
      <c r="G15" s="116">
        <f t="shared" si="2"/>
        <v>4037.2</v>
      </c>
      <c r="H15" s="116">
        <f t="shared" si="2"/>
        <v>4037.2</v>
      </c>
      <c r="I15" s="116">
        <f t="shared" si="2"/>
        <v>4037.2</v>
      </c>
      <c r="J15" s="116">
        <f t="shared" si="2"/>
        <v>4037.2</v>
      </c>
      <c r="K15" s="116">
        <f t="shared" si="2"/>
        <v>4037.2</v>
      </c>
      <c r="L15" s="116">
        <f t="shared" si="2"/>
        <v>4037.2</v>
      </c>
      <c r="M15" s="116">
        <f t="shared" si="2"/>
        <v>4037.2</v>
      </c>
      <c r="N15" s="116">
        <f t="shared" si="2"/>
        <v>4037.2</v>
      </c>
      <c r="O15" s="116">
        <f t="shared" si="2"/>
        <v>4037.2</v>
      </c>
      <c r="P15" s="5">
        <f t="shared" si="1"/>
        <v>48446.399999999994</v>
      </c>
      <c r="Q15" s="6"/>
      <c r="S15" s="6"/>
    </row>
    <row r="16" spans="1:20">
      <c r="A16" s="4">
        <f t="shared" si="0"/>
        <v>5</v>
      </c>
      <c r="B16" s="144">
        <v>4081</v>
      </c>
      <c r="C16" s="6" t="s">
        <v>245</v>
      </c>
      <c r="D16" s="116">
        <f>'C.2.3 F'!C25</f>
        <v>474078.58412594919</v>
      </c>
      <c r="E16" s="116">
        <f>'C.2.3 F'!D25</f>
        <v>496683.80826868454</v>
      </c>
      <c r="F16" s="116">
        <f>'C.2.3 F'!E25</f>
        <v>477532.59479307721</v>
      </c>
      <c r="G16" s="116">
        <f>'C.2.3 F'!F25</f>
        <v>475466.46204850817</v>
      </c>
      <c r="H16" s="116">
        <f>'C.2.3 F'!G25</f>
        <v>530426.63686514727</v>
      </c>
      <c r="I16" s="116">
        <f>'C.2.3 F'!H25</f>
        <v>515122.87686514732</v>
      </c>
      <c r="J16" s="116">
        <f>'C.2.3 F'!I25</f>
        <v>479903.18686514732</v>
      </c>
      <c r="K16" s="116">
        <f>'C.2.3 F'!J25</f>
        <v>538468.69686514733</v>
      </c>
      <c r="L16" s="116">
        <f>'C.2.3 F'!K25</f>
        <v>491713.02686514729</v>
      </c>
      <c r="M16" s="116">
        <f>'C.2.3 F'!L25</f>
        <v>499474.1549545477</v>
      </c>
      <c r="N16" s="116">
        <f>'C.2.3 F'!M25</f>
        <v>594132.68837168661</v>
      </c>
      <c r="O16" s="116">
        <f>'C.2.3 F'!N25</f>
        <v>527217.4358050864</v>
      </c>
      <c r="P16" s="5">
        <f t="shared" si="1"/>
        <v>6100220.1526932763</v>
      </c>
      <c r="Q16" s="216"/>
      <c r="S16" s="216"/>
      <c r="T16" s="9"/>
    </row>
    <row r="17" spans="1:19">
      <c r="A17" s="4">
        <f t="shared" si="0"/>
        <v>6</v>
      </c>
      <c r="B17" s="144">
        <v>4800</v>
      </c>
      <c r="C17" s="265" t="s">
        <v>246</v>
      </c>
      <c r="D17" s="116">
        <v>-4201268.6228973651</v>
      </c>
      <c r="E17" s="116">
        <v>-3877378.1406009444</v>
      </c>
      <c r="F17" s="116">
        <v>-3821140.5303760283</v>
      </c>
      <c r="G17" s="116">
        <v>-3845344.2182956291</v>
      </c>
      <c r="H17" s="116">
        <v>-4867276.7173198052</v>
      </c>
      <c r="I17" s="116">
        <v>-8345706.3607764542</v>
      </c>
      <c r="J17" s="116">
        <v>-12478366.792133136</v>
      </c>
      <c r="K17" s="116">
        <v>-14143816.410609035</v>
      </c>
      <c r="L17" s="116">
        <v>-13587612.431186128</v>
      </c>
      <c r="M17" s="116">
        <v>-12857074.65086887</v>
      </c>
      <c r="N17" s="116">
        <v>-8294818.5120518543</v>
      </c>
      <c r="O17" s="116">
        <v>-5503226.438238184</v>
      </c>
      <c r="P17" s="116">
        <f t="shared" si="1"/>
        <v>-95823029.825353429</v>
      </c>
    </row>
    <row r="18" spans="1:19">
      <c r="A18" s="4">
        <f t="shared" si="0"/>
        <v>7</v>
      </c>
      <c r="B18" s="144">
        <v>4805</v>
      </c>
      <c r="C18" s="217" t="s">
        <v>247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9">
      <c r="A19" s="4">
        <f t="shared" si="0"/>
        <v>8</v>
      </c>
      <c r="B19" s="144">
        <v>4811</v>
      </c>
      <c r="C19" s="217" t="s">
        <v>248</v>
      </c>
      <c r="D19" s="116">
        <v>-1840387.2281287462</v>
      </c>
      <c r="E19" s="116">
        <v>-1721802.6777845549</v>
      </c>
      <c r="F19" s="116">
        <v>-1690360.4602324376</v>
      </c>
      <c r="G19" s="116">
        <v>-1697937.2651399029</v>
      </c>
      <c r="H19" s="116">
        <v>-2075771.1460299401</v>
      </c>
      <c r="I19" s="116">
        <v>-3426761.7529234421</v>
      </c>
      <c r="J19" s="116">
        <v>-5072886.3369821701</v>
      </c>
      <c r="K19" s="116">
        <v>-5747048.040673296</v>
      </c>
      <c r="L19" s="116">
        <v>-5642685.2126848055</v>
      </c>
      <c r="M19" s="116">
        <v>-5127401.3287257254</v>
      </c>
      <c r="N19" s="116">
        <v>-3455972.9054769436</v>
      </c>
      <c r="O19" s="116">
        <v>-2363430.8658952895</v>
      </c>
      <c r="P19" s="116">
        <f t="shared" si="1"/>
        <v>-39862445.220677249</v>
      </c>
    </row>
    <row r="20" spans="1:19">
      <c r="A20" s="4">
        <f t="shared" si="0"/>
        <v>9</v>
      </c>
      <c r="B20" s="144">
        <v>4812</v>
      </c>
      <c r="C20" s="5" t="s">
        <v>249</v>
      </c>
      <c r="D20" s="116">
        <v>-248583.40862098554</v>
      </c>
      <c r="E20" s="116">
        <v>-152992.77479779642</v>
      </c>
      <c r="F20" s="116">
        <v>-213968.12308367409</v>
      </c>
      <c r="G20" s="116">
        <v>-170704.17731956393</v>
      </c>
      <c r="H20" s="116">
        <v>-236478.17521546903</v>
      </c>
      <c r="I20" s="116">
        <v>-306081.07370747271</v>
      </c>
      <c r="J20" s="116">
        <v>-575973.29941798933</v>
      </c>
      <c r="K20" s="116">
        <v>-753210.0668626983</v>
      </c>
      <c r="L20" s="116">
        <v>-591797.78317842353</v>
      </c>
      <c r="M20" s="116">
        <v>-960768.12766470993</v>
      </c>
      <c r="N20" s="116">
        <v>-361428.99045902566</v>
      </c>
      <c r="O20" s="116">
        <v>-308541.23944735265</v>
      </c>
      <c r="P20" s="116">
        <f t="shared" si="1"/>
        <v>-4880527.2397751613</v>
      </c>
      <c r="Q20" s="6"/>
      <c r="R20" s="79"/>
    </row>
    <row r="21" spans="1:19">
      <c r="A21" s="4">
        <f t="shared" si="0"/>
        <v>10</v>
      </c>
      <c r="B21" s="144">
        <v>4815</v>
      </c>
      <c r="C21" s="5" t="s">
        <v>250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6"/>
      <c r="R21" s="79"/>
    </row>
    <row r="22" spans="1:19">
      <c r="A22" s="4">
        <f t="shared" si="0"/>
        <v>11</v>
      </c>
      <c r="B22" s="144">
        <v>4816</v>
      </c>
      <c r="C22" s="5" t="s">
        <v>251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6"/>
      <c r="R22" s="79"/>
    </row>
    <row r="23" spans="1:19" ht="15.75">
      <c r="A23" s="4">
        <f t="shared" si="0"/>
        <v>12</v>
      </c>
      <c r="B23" s="144">
        <v>4820</v>
      </c>
      <c r="C23" s="5" t="s">
        <v>252</v>
      </c>
      <c r="D23" s="116">
        <v>-263072.62355836708</v>
      </c>
      <c r="E23" s="116">
        <v>-238326.25035950949</v>
      </c>
      <c r="F23" s="116">
        <v>-230068.91782624542</v>
      </c>
      <c r="G23" s="116">
        <v>-239375.29734039362</v>
      </c>
      <c r="H23" s="116">
        <v>-334521.73625627509</v>
      </c>
      <c r="I23" s="116">
        <v>-637713.83683892328</v>
      </c>
      <c r="J23" s="116">
        <v>-992365.42750667315</v>
      </c>
      <c r="K23" s="116">
        <v>-1141046.8454879541</v>
      </c>
      <c r="L23" s="116">
        <v>-1085110.9884618123</v>
      </c>
      <c r="M23" s="116">
        <v>-1031152.8350119655</v>
      </c>
      <c r="N23" s="116">
        <v>-619398.38989390922</v>
      </c>
      <c r="O23" s="116">
        <v>-377455.89542681194</v>
      </c>
      <c r="P23" s="116">
        <f t="shared" si="1"/>
        <v>-7189609.0439688396</v>
      </c>
      <c r="Q23" s="5"/>
      <c r="R23" s="266"/>
    </row>
    <row r="24" spans="1:19" ht="15.75">
      <c r="A24" s="4">
        <f t="shared" si="0"/>
        <v>13</v>
      </c>
      <c r="B24" s="144">
        <v>4825</v>
      </c>
      <c r="C24" s="5" t="s">
        <v>253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5"/>
      <c r="R24" s="266"/>
    </row>
    <row r="25" spans="1:19">
      <c r="A25" s="4">
        <f t="shared" si="0"/>
        <v>14</v>
      </c>
      <c r="B25" s="144">
        <v>4870</v>
      </c>
      <c r="C25" s="6" t="s">
        <v>254</v>
      </c>
      <c r="D25" s="116">
        <v>-64359.484880450655</v>
      </c>
      <c r="E25" s="116">
        <v>-50430.816667139916</v>
      </c>
      <c r="F25" s="116">
        <v>-46693.460565744826</v>
      </c>
      <c r="G25" s="116">
        <v>-45925.383208012761</v>
      </c>
      <c r="H25" s="116">
        <v>-46253.95138550202</v>
      </c>
      <c r="I25" s="116">
        <v>-58211.918307893335</v>
      </c>
      <c r="J25" s="116">
        <v>-99267.594643623204</v>
      </c>
      <c r="K25" s="116">
        <v>-148251.73521202765</v>
      </c>
      <c r="L25" s="116">
        <v>-168154.64563045249</v>
      </c>
      <c r="M25" s="116">
        <v>-162432.45197172367</v>
      </c>
      <c r="N25" s="116">
        <v>-152013.47087655027</v>
      </c>
      <c r="O25" s="116">
        <v>-98892.265646552856</v>
      </c>
      <c r="P25" s="116">
        <f t="shared" ref="P25:P88" si="3">SUM(D25:O25)</f>
        <v>-1140887.1789956738</v>
      </c>
      <c r="Q25" s="6"/>
      <c r="R25" s="6"/>
    </row>
    <row r="26" spans="1:19">
      <c r="A26" s="4">
        <f t="shared" si="0"/>
        <v>15</v>
      </c>
      <c r="B26" s="144">
        <v>4880</v>
      </c>
      <c r="C26" s="6" t="s">
        <v>255</v>
      </c>
      <c r="D26" s="116">
        <v>-53147</v>
      </c>
      <c r="E26" s="116">
        <v>-52352</v>
      </c>
      <c r="F26" s="116">
        <v>-49875</v>
      </c>
      <c r="G26" s="116">
        <v>-61445</v>
      </c>
      <c r="H26" s="116">
        <v>-120749</v>
      </c>
      <c r="I26" s="116">
        <v>-125695</v>
      </c>
      <c r="J26" s="116">
        <v>-56798</v>
      </c>
      <c r="K26" s="116">
        <v>-53861</v>
      </c>
      <c r="L26" s="116">
        <v>-48764</v>
      </c>
      <c r="M26" s="116">
        <v>-61274</v>
      </c>
      <c r="N26" s="116">
        <v>-55115</v>
      </c>
      <c r="O26" s="116">
        <v>-56750</v>
      </c>
      <c r="P26" s="116">
        <f t="shared" si="3"/>
        <v>-795825</v>
      </c>
      <c r="Q26" s="6"/>
      <c r="R26" s="6"/>
    </row>
    <row r="27" spans="1:19">
      <c r="A27" s="4">
        <f t="shared" si="0"/>
        <v>16</v>
      </c>
      <c r="B27" s="144">
        <v>4893</v>
      </c>
      <c r="C27" s="6" t="s">
        <v>352</v>
      </c>
      <c r="D27" s="116">
        <v>-1054709.8433999999</v>
      </c>
      <c r="E27" s="116">
        <v>-1013351.0695</v>
      </c>
      <c r="F27" s="116">
        <v>-1068158.5239000001</v>
      </c>
      <c r="G27" s="116">
        <v>-1050910.6894999999</v>
      </c>
      <c r="H27" s="116">
        <v>-1190909.3454499999</v>
      </c>
      <c r="I27" s="116">
        <v>-1319362.7035000001</v>
      </c>
      <c r="J27" s="116">
        <v>-1329060.5179000003</v>
      </c>
      <c r="K27" s="116">
        <v>-1473667.6765999999</v>
      </c>
      <c r="L27" s="116">
        <v>-1424542.7038</v>
      </c>
      <c r="M27" s="116">
        <v>-1335401.2275</v>
      </c>
      <c r="N27" s="116">
        <v>-1140627.9108</v>
      </c>
      <c r="O27" s="116">
        <v>-1092901.6943000001</v>
      </c>
      <c r="P27" s="116">
        <f t="shared" si="3"/>
        <v>-14493603.90615</v>
      </c>
      <c r="Q27" s="219"/>
    </row>
    <row r="28" spans="1:19">
      <c r="A28" s="4">
        <f t="shared" si="0"/>
        <v>17</v>
      </c>
      <c r="B28" s="144">
        <v>4950</v>
      </c>
      <c r="C28" s="6" t="s">
        <v>98</v>
      </c>
      <c r="D28" s="116">
        <v>-198243.80750000002</v>
      </c>
      <c r="E28" s="116">
        <v>-198681.44750000004</v>
      </c>
      <c r="F28" s="116">
        <v>-207453.83249999999</v>
      </c>
      <c r="G28" s="116">
        <v>-197356.58499999999</v>
      </c>
      <c r="H28" s="116">
        <v>-213502.51250000004</v>
      </c>
      <c r="I28" s="116">
        <v>-225558.07250000001</v>
      </c>
      <c r="J28" s="116">
        <v>-235550.01249999998</v>
      </c>
      <c r="K28" s="116">
        <v>-252288.6275</v>
      </c>
      <c r="L28" s="116">
        <v>-241810.63249999995</v>
      </c>
      <c r="M28" s="116">
        <v>-227856.71499999997</v>
      </c>
      <c r="N28" s="116">
        <v>-214959.52000000002</v>
      </c>
      <c r="O28" s="116">
        <v>-205466.29249999998</v>
      </c>
      <c r="P28" s="116">
        <f t="shared" si="3"/>
        <v>-2618728.0574999996</v>
      </c>
      <c r="Q28" s="79"/>
      <c r="R28" s="79"/>
    </row>
    <row r="29" spans="1:19">
      <c r="A29" s="4">
        <f t="shared" si="0"/>
        <v>18</v>
      </c>
      <c r="B29" s="144">
        <v>7560</v>
      </c>
      <c r="C29" s="9" t="s">
        <v>257</v>
      </c>
      <c r="D29" s="134">
        <v>8.5329614878992057</v>
      </c>
      <c r="E29" s="134">
        <v>9.1419011785462647</v>
      </c>
      <c r="F29" s="134">
        <v>8.8622999464698538</v>
      </c>
      <c r="G29" s="134">
        <v>8.7899527619551812</v>
      </c>
      <c r="H29" s="134">
        <v>8.8377941224042225</v>
      </c>
      <c r="I29" s="134">
        <v>8.3011196961340818</v>
      </c>
      <c r="J29" s="134">
        <v>8.3669483782588046</v>
      </c>
      <c r="K29" s="134">
        <v>8.2476765586461607</v>
      </c>
      <c r="L29" s="134">
        <v>7.8998085451070725</v>
      </c>
      <c r="M29" s="134">
        <v>8.6376749287450689</v>
      </c>
      <c r="N29" s="134">
        <v>9.7164149065414307</v>
      </c>
      <c r="O29" s="134">
        <v>8.3865780036485287</v>
      </c>
      <c r="P29" s="116">
        <f t="shared" si="3"/>
        <v>103.72113051435586</v>
      </c>
      <c r="Q29" s="213"/>
      <c r="R29" s="79"/>
    </row>
    <row r="30" spans="1:19">
      <c r="A30" s="4">
        <f t="shared" si="0"/>
        <v>19</v>
      </c>
      <c r="B30" s="144">
        <v>7590</v>
      </c>
      <c r="C30" s="212" t="s">
        <v>104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16">
        <f t="shared" si="3"/>
        <v>0</v>
      </c>
      <c r="Q30" s="213"/>
      <c r="R30" s="79"/>
    </row>
    <row r="31" spans="1:19">
      <c r="A31" s="4">
        <f t="shared" si="0"/>
        <v>20</v>
      </c>
      <c r="B31" s="144">
        <v>8001</v>
      </c>
      <c r="C31" s="6" t="s">
        <v>146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146919.11091232725</v>
      </c>
      <c r="K31" s="116">
        <v>89603.973920114935</v>
      </c>
      <c r="L31" s="116">
        <v>396305.01818808267</v>
      </c>
      <c r="M31" s="116">
        <v>213051.43288701813</v>
      </c>
      <c r="N31" s="116">
        <v>463204.80290183751</v>
      </c>
      <c r="O31" s="116">
        <v>0</v>
      </c>
      <c r="P31" s="116">
        <f t="shared" si="3"/>
        <v>1309084.3388093805</v>
      </c>
      <c r="Q31" s="6"/>
      <c r="R31" s="79"/>
      <c r="S31" s="6"/>
    </row>
    <row r="32" spans="1:19">
      <c r="A32" s="4">
        <f t="shared" si="0"/>
        <v>21</v>
      </c>
      <c r="B32" s="144">
        <v>8010</v>
      </c>
      <c r="C32" s="6" t="s">
        <v>258</v>
      </c>
      <c r="D32" s="116">
        <v>6175.7763157554582</v>
      </c>
      <c r="E32" s="116">
        <v>5936.6494756029051</v>
      </c>
      <c r="F32" s="116">
        <v>5505.2318739390184</v>
      </c>
      <c r="G32" s="116">
        <v>7191.3206783476144</v>
      </c>
      <c r="H32" s="116">
        <v>4298.1121478770519</v>
      </c>
      <c r="I32" s="116">
        <v>5578.8915878009211</v>
      </c>
      <c r="J32" s="116">
        <v>5021.3425915770304</v>
      </c>
      <c r="K32" s="116">
        <v>4953.572093507003</v>
      </c>
      <c r="L32" s="116">
        <v>3351.2356136218468</v>
      </c>
      <c r="M32" s="116">
        <v>9363.5670674092598</v>
      </c>
      <c r="N32" s="116">
        <v>13724.989620946659</v>
      </c>
      <c r="O32" s="116">
        <v>10889.1653924206</v>
      </c>
      <c r="P32" s="116">
        <f t="shared" si="3"/>
        <v>81989.854458805363</v>
      </c>
      <c r="Q32" s="6"/>
      <c r="R32" s="79"/>
      <c r="S32" s="6"/>
    </row>
    <row r="33" spans="1:25">
      <c r="A33" s="4">
        <f t="shared" si="0"/>
        <v>22</v>
      </c>
      <c r="B33" s="144">
        <v>8040</v>
      </c>
      <c r="C33" s="6" t="s">
        <v>259</v>
      </c>
      <c r="D33" s="116">
        <v>4473767.4124967093</v>
      </c>
      <c r="E33" s="116">
        <v>4984370.1328893434</v>
      </c>
      <c r="F33" s="116">
        <v>4042075.8170955428</v>
      </c>
      <c r="G33" s="116">
        <v>4203499.19793835</v>
      </c>
      <c r="H33" s="116">
        <v>4164915.5466492972</v>
      </c>
      <c r="I33" s="116">
        <v>5146802.4368380951</v>
      </c>
      <c r="J33" s="116">
        <v>4766797.5522712627</v>
      </c>
      <c r="K33" s="116">
        <v>3835234.7444325797</v>
      </c>
      <c r="L33" s="116">
        <v>2330260.1981907268</v>
      </c>
      <c r="M33" s="116">
        <v>3864089.5099203326</v>
      </c>
      <c r="N33" s="116">
        <v>2470964.1835634005</v>
      </c>
      <c r="O33" s="116">
        <v>10347908.833334723</v>
      </c>
      <c r="P33" s="116">
        <f t="shared" si="3"/>
        <v>54630685.565620363</v>
      </c>
      <c r="Q33" s="6"/>
      <c r="R33" s="6"/>
      <c r="S33" s="6"/>
    </row>
    <row r="34" spans="1:25">
      <c r="A34" s="4">
        <f t="shared" si="0"/>
        <v>23</v>
      </c>
      <c r="B34" s="144">
        <v>8050</v>
      </c>
      <c r="C34" s="6" t="s">
        <v>260</v>
      </c>
      <c r="D34" s="116">
        <v>-938.81157300945495</v>
      </c>
      <c r="E34" s="116">
        <v>-2611.4601455664251</v>
      </c>
      <c r="F34" s="116">
        <v>-1609.1119269959356</v>
      </c>
      <c r="G34" s="116">
        <v>-226.12477396937496</v>
      </c>
      <c r="H34" s="116">
        <v>-15.567180247612981</v>
      </c>
      <c r="I34" s="116">
        <v>-21.672399465480957</v>
      </c>
      <c r="J34" s="116">
        <v>0</v>
      </c>
      <c r="K34" s="116">
        <v>0</v>
      </c>
      <c r="L34" s="116">
        <v>-224.82233701872514</v>
      </c>
      <c r="M34" s="116">
        <v>23720.533307298792</v>
      </c>
      <c r="N34" s="116">
        <v>-17.443541308645315</v>
      </c>
      <c r="O34" s="116">
        <v>-1417.4060072164689</v>
      </c>
      <c r="P34" s="116">
        <f t="shared" si="3"/>
        <v>16638.113422500668</v>
      </c>
      <c r="Q34" s="6"/>
      <c r="R34" s="6"/>
      <c r="S34" s="6"/>
    </row>
    <row r="35" spans="1:25">
      <c r="A35" s="4">
        <f t="shared" si="0"/>
        <v>24</v>
      </c>
      <c r="B35" s="144">
        <v>8051</v>
      </c>
      <c r="C35" s="6" t="s">
        <v>261</v>
      </c>
      <c r="D35" s="116">
        <v>1077682.4352895038</v>
      </c>
      <c r="E35" s="116">
        <v>855624.99680327752</v>
      </c>
      <c r="F35" s="116">
        <v>725665.86855211493</v>
      </c>
      <c r="G35" s="116">
        <v>729239.12473403872</v>
      </c>
      <c r="H35" s="116">
        <v>945870.79456960026</v>
      </c>
      <c r="I35" s="116">
        <v>3023339.7183964993</v>
      </c>
      <c r="J35" s="116">
        <v>6572938.8884907691</v>
      </c>
      <c r="K35" s="116">
        <v>8091636.5581096858</v>
      </c>
      <c r="L35" s="116">
        <v>8181532.8845226504</v>
      </c>
      <c r="M35" s="116">
        <v>9502782.1550766472</v>
      </c>
      <c r="N35" s="116">
        <v>7190471.1113609802</v>
      </c>
      <c r="O35" s="116">
        <v>3129853.9243696271</v>
      </c>
      <c r="P35" s="116">
        <f t="shared" si="3"/>
        <v>50026638.460275397</v>
      </c>
      <c r="Q35" s="6"/>
      <c r="R35" s="6"/>
      <c r="S35" s="6"/>
    </row>
    <row r="36" spans="1:25">
      <c r="A36" s="4">
        <f t="shared" si="0"/>
        <v>25</v>
      </c>
      <c r="B36" s="144">
        <v>8052</v>
      </c>
      <c r="C36" s="6" t="s">
        <v>262</v>
      </c>
      <c r="D36" s="116">
        <v>821094.97198128258</v>
      </c>
      <c r="E36" s="116">
        <v>762193.329973888</v>
      </c>
      <c r="F36" s="116">
        <v>677880.19513050572</v>
      </c>
      <c r="G36" s="116">
        <v>770336.59234322282</v>
      </c>
      <c r="H36" s="116">
        <v>948827.2739442992</v>
      </c>
      <c r="I36" s="116">
        <v>1354890.5097397051</v>
      </c>
      <c r="J36" s="116">
        <v>2837329.219648527</v>
      </c>
      <c r="K36" s="116">
        <v>3562542.5802478027</v>
      </c>
      <c r="L36" s="116">
        <v>3612688.1519557671</v>
      </c>
      <c r="M36" s="116">
        <v>4126387.6572248633</v>
      </c>
      <c r="N36" s="116">
        <v>3440145.9531220119</v>
      </c>
      <c r="O36" s="116">
        <v>1899794.0077016284</v>
      </c>
      <c r="P36" s="116">
        <f t="shared" si="3"/>
        <v>24814110.4430135</v>
      </c>
      <c r="Q36" s="6"/>
      <c r="R36" s="79"/>
      <c r="S36" s="6"/>
    </row>
    <row r="37" spans="1:25" ht="15.75">
      <c r="A37" s="4">
        <f t="shared" si="0"/>
        <v>26</v>
      </c>
      <c r="B37" s="144">
        <v>8053</v>
      </c>
      <c r="C37" s="6" t="s">
        <v>263</v>
      </c>
      <c r="D37" s="116">
        <v>296792.54419777577</v>
      </c>
      <c r="E37" s="116">
        <v>180736.70846029368</v>
      </c>
      <c r="F37" s="116">
        <v>216320.14729032002</v>
      </c>
      <c r="G37" s="116">
        <v>145184.3134880467</v>
      </c>
      <c r="H37" s="116">
        <v>199457.00420816391</v>
      </c>
      <c r="I37" s="116">
        <v>227314.43721464049</v>
      </c>
      <c r="J37" s="116">
        <v>431075.72925873398</v>
      </c>
      <c r="K37" s="116">
        <v>531439.18794250628</v>
      </c>
      <c r="L37" s="116">
        <v>530543.21489946265</v>
      </c>
      <c r="M37" s="116">
        <v>760216.79047914478</v>
      </c>
      <c r="N37" s="116">
        <v>625192.89821576187</v>
      </c>
      <c r="O37" s="116">
        <v>571070.33019069117</v>
      </c>
      <c r="P37" s="116">
        <f t="shared" si="3"/>
        <v>4715343.3058455419</v>
      </c>
      <c r="Q37" s="6"/>
      <c r="R37" s="266"/>
      <c r="S37" s="6"/>
    </row>
    <row r="38" spans="1:25">
      <c r="A38" s="4">
        <f t="shared" si="0"/>
        <v>27</v>
      </c>
      <c r="B38" s="144">
        <v>8054</v>
      </c>
      <c r="C38" s="6" t="s">
        <v>264</v>
      </c>
      <c r="D38" s="116">
        <v>168725.59062571425</v>
      </c>
      <c r="E38" s="116">
        <v>139478.50643155121</v>
      </c>
      <c r="F38" s="116">
        <v>120599.89151730444</v>
      </c>
      <c r="G38" s="116">
        <v>144478.95373279441</v>
      </c>
      <c r="H38" s="116">
        <v>173663.46546173363</v>
      </c>
      <c r="I38" s="116">
        <v>297441.11327488447</v>
      </c>
      <c r="J38" s="116">
        <v>619686.2180469461</v>
      </c>
      <c r="K38" s="116">
        <v>765820.40704525355</v>
      </c>
      <c r="L38" s="116">
        <v>791195.61187929322</v>
      </c>
      <c r="M38" s="116">
        <v>895266.72508212272</v>
      </c>
      <c r="N38" s="116">
        <v>751961.26768360171</v>
      </c>
      <c r="O38" s="116">
        <v>480781.35286224191</v>
      </c>
      <c r="P38" s="116">
        <f t="shared" si="3"/>
        <v>5349099.1036434416</v>
      </c>
      <c r="Q38" s="6"/>
      <c r="R38" s="213"/>
      <c r="S38" s="6"/>
    </row>
    <row r="39" spans="1:25">
      <c r="A39" s="4">
        <f t="shared" si="0"/>
        <v>28</v>
      </c>
      <c r="B39" s="144">
        <v>8058</v>
      </c>
      <c r="C39" s="6" t="s">
        <v>265</v>
      </c>
      <c r="D39" s="116">
        <v>-251539.35057493747</v>
      </c>
      <c r="E39" s="116">
        <v>-230242.5760504253</v>
      </c>
      <c r="F39" s="116">
        <v>-2463.94524158379</v>
      </c>
      <c r="G39" s="116">
        <v>-44132.335725606092</v>
      </c>
      <c r="H39" s="116">
        <v>676622.213157997</v>
      </c>
      <c r="I39" s="116">
        <v>2069022.2900035963</v>
      </c>
      <c r="J39" s="116">
        <v>1394960.7304291471</v>
      </c>
      <c r="K39" s="116">
        <v>990425.77923804952</v>
      </c>
      <c r="L39" s="116">
        <v>447999.20497353573</v>
      </c>
      <c r="M39" s="116">
        <v>-3054215.6151740667</v>
      </c>
      <c r="N39" s="116">
        <v>-5135995.5852569267</v>
      </c>
      <c r="O39" s="116">
        <v>-2376599.3805235992</v>
      </c>
      <c r="P39" s="116">
        <f t="shared" si="3"/>
        <v>-5516158.570744819</v>
      </c>
      <c r="Q39" s="6"/>
      <c r="R39" s="6"/>
      <c r="S39" s="6"/>
    </row>
    <row r="40" spans="1:25">
      <c r="A40" s="4">
        <f t="shared" si="0"/>
        <v>29</v>
      </c>
      <c r="B40" s="144">
        <v>8059</v>
      </c>
      <c r="C40" s="6" t="s">
        <v>266</v>
      </c>
      <c r="D40" s="116">
        <v>-3017104.3519653128</v>
      </c>
      <c r="E40" s="116">
        <v>-3071812.8343516858</v>
      </c>
      <c r="F40" s="116">
        <v>-2652088.424796992</v>
      </c>
      <c r="G40" s="116">
        <v>-1969542.2773753323</v>
      </c>
      <c r="H40" s="116">
        <v>-2129996.6344442605</v>
      </c>
      <c r="I40" s="116">
        <v>-3343033.743989863</v>
      </c>
      <c r="J40" s="116">
        <v>-8614117.7869039308</v>
      </c>
      <c r="K40" s="116">
        <v>-8788002.894708287</v>
      </c>
      <c r="L40" s="116">
        <v>-10927965.574432731</v>
      </c>
      <c r="M40" s="116">
        <v>-12369994.034000657</v>
      </c>
      <c r="N40" s="116">
        <v>-14846413.530096607</v>
      </c>
      <c r="O40" s="116">
        <v>-8412086.1163306423</v>
      </c>
      <c r="P40" s="116">
        <f t="shared" si="3"/>
        <v>-80142158.203396305</v>
      </c>
      <c r="Q40" s="6"/>
      <c r="R40" s="6"/>
      <c r="S40" s="6"/>
    </row>
    <row r="41" spans="1:25">
      <c r="A41" s="4">
        <f t="shared" si="0"/>
        <v>30</v>
      </c>
      <c r="B41" s="144">
        <v>8060</v>
      </c>
      <c r="C41" s="6" t="s">
        <v>267</v>
      </c>
      <c r="D41" s="116">
        <v>-1052381.6291968508</v>
      </c>
      <c r="E41" s="116">
        <v>-1294139.779390781</v>
      </c>
      <c r="F41" s="116">
        <v>-786058.38558499329</v>
      </c>
      <c r="G41" s="116">
        <v>-1242347.631316328</v>
      </c>
      <c r="H41" s="116">
        <v>-945738.8274722395</v>
      </c>
      <c r="I41" s="116">
        <v>-1038646.23580557</v>
      </c>
      <c r="J41" s="116">
        <v>682620.52517538192</v>
      </c>
      <c r="K41" s="116">
        <v>750798.45681039931</v>
      </c>
      <c r="L41" s="116">
        <v>1877942.431411627</v>
      </c>
      <c r="M41" s="116">
        <v>1163164.7240525619</v>
      </c>
      <c r="N41" s="116">
        <v>2500076.778483124</v>
      </c>
      <c r="O41" s="116">
        <v>-1949962.8557109453</v>
      </c>
      <c r="P41" s="116">
        <f t="shared" si="3"/>
        <v>-1334672.4285446138</v>
      </c>
      <c r="Q41" s="6"/>
      <c r="R41" s="6"/>
      <c r="S41" s="6"/>
    </row>
    <row r="42" spans="1:25">
      <c r="A42" s="4">
        <f t="shared" si="0"/>
        <v>31</v>
      </c>
      <c r="B42" s="144">
        <v>8081</v>
      </c>
      <c r="C42" s="6" t="s">
        <v>268</v>
      </c>
      <c r="D42" s="116">
        <v>0</v>
      </c>
      <c r="E42" s="116">
        <v>0</v>
      </c>
      <c r="F42" s="116">
        <v>3624.5058774322029</v>
      </c>
      <c r="G42" s="116">
        <v>0</v>
      </c>
      <c r="H42" s="116">
        <v>0</v>
      </c>
      <c r="I42" s="116">
        <v>7382.7224704886212</v>
      </c>
      <c r="J42" s="116">
        <v>1436919.8074143117</v>
      </c>
      <c r="K42" s="116">
        <v>2636309.656346289</v>
      </c>
      <c r="L42" s="116">
        <v>4688638.8008926129</v>
      </c>
      <c r="M42" s="116">
        <v>5391206.4272765648</v>
      </c>
      <c r="N42" s="116">
        <v>5833492.8328729244</v>
      </c>
      <c r="O42" s="116">
        <v>5307.9441797296904</v>
      </c>
      <c r="P42" s="116">
        <f t="shared" si="3"/>
        <v>20002882.697330352</v>
      </c>
      <c r="Q42" s="219"/>
      <c r="R42" s="6"/>
      <c r="S42" s="6"/>
    </row>
    <row r="43" spans="1:25">
      <c r="A43" s="4">
        <f t="shared" si="0"/>
        <v>32</v>
      </c>
      <c r="B43" s="144">
        <v>8082</v>
      </c>
      <c r="C43" s="6" t="s">
        <v>269</v>
      </c>
      <c r="D43" s="116">
        <v>-2161326.8022751957</v>
      </c>
      <c r="E43" s="116">
        <v>-2287493.5846953304</v>
      </c>
      <c r="F43" s="116">
        <v>-2158597.4561371356</v>
      </c>
      <c r="G43" s="116">
        <v>-2017322.9412127382</v>
      </c>
      <c r="H43" s="116">
        <v>-2034966.886721161</v>
      </c>
      <c r="I43" s="116">
        <v>-2010348.5637455545</v>
      </c>
      <c r="J43" s="116">
        <v>-41611.943123310652</v>
      </c>
      <c r="K43" s="116">
        <v>-24303.760891339494</v>
      </c>
      <c r="L43" s="116">
        <v>-2746.4228252360585</v>
      </c>
      <c r="M43" s="116">
        <v>-9990.6778759945064</v>
      </c>
      <c r="N43" s="116">
        <v>-29386.767758330592</v>
      </c>
      <c r="O43" s="116">
        <v>-3736489.2423288152</v>
      </c>
      <c r="P43" s="116">
        <f t="shared" si="3"/>
        <v>-16514585.049590139</v>
      </c>
      <c r="R43" s="6"/>
      <c r="S43" s="6"/>
    </row>
    <row r="44" spans="1:25" ht="15.75">
      <c r="A44" s="4">
        <f t="shared" si="0"/>
        <v>33</v>
      </c>
      <c r="B44" s="144">
        <v>8120</v>
      </c>
      <c r="C44" s="6" t="s">
        <v>270</v>
      </c>
      <c r="D44" s="116">
        <v>1093.3733802116383</v>
      </c>
      <c r="E44" s="116">
        <v>149.90181659650241</v>
      </c>
      <c r="F44" s="116">
        <v>82.605549770274308</v>
      </c>
      <c r="G44" s="116">
        <v>205.31322317184672</v>
      </c>
      <c r="H44" s="116">
        <v>-427.71377965002563</v>
      </c>
      <c r="I44" s="116">
        <v>-731.01998096903617</v>
      </c>
      <c r="J44" s="116">
        <v>-1242.5909901977541</v>
      </c>
      <c r="K44" s="116">
        <v>-1101.4888561335572</v>
      </c>
      <c r="L44" s="116">
        <v>-3995.2263959909214</v>
      </c>
      <c r="M44" s="116">
        <v>-1512.7169461021156</v>
      </c>
      <c r="N44" s="116">
        <v>-2120.8614110384838</v>
      </c>
      <c r="O44" s="116">
        <v>-1255.6271880827946</v>
      </c>
      <c r="P44" s="116">
        <f t="shared" si="3"/>
        <v>-10856.051578414428</v>
      </c>
      <c r="Q44" s="6"/>
      <c r="R44" s="237"/>
    </row>
    <row r="45" spans="1:25">
      <c r="A45" s="4">
        <f t="shared" si="0"/>
        <v>34</v>
      </c>
      <c r="B45" s="144">
        <v>8580</v>
      </c>
      <c r="C45" s="6" t="s">
        <v>271</v>
      </c>
      <c r="D45" s="116">
        <v>1751808.4061979048</v>
      </c>
      <c r="E45" s="116">
        <v>1665750.8762184177</v>
      </c>
      <c r="F45" s="116">
        <v>1547147.823599203</v>
      </c>
      <c r="G45" s="116">
        <v>1018748.4560616708</v>
      </c>
      <c r="H45" s="116">
        <v>941504.25702073413</v>
      </c>
      <c r="I45" s="116">
        <v>1232286.1650440684</v>
      </c>
      <c r="J45" s="116">
        <v>1617451.3916623814</v>
      </c>
      <c r="K45" s="116">
        <v>1495406.2519967377</v>
      </c>
      <c r="L45" s="116">
        <v>1634439.1352983145</v>
      </c>
      <c r="M45" s="116">
        <v>1715388.5173654691</v>
      </c>
      <c r="N45" s="116">
        <v>3594354.1539540128</v>
      </c>
      <c r="O45" s="116">
        <v>3735849.6774707446</v>
      </c>
      <c r="P45" s="116">
        <f t="shared" si="3"/>
        <v>21950135.111889657</v>
      </c>
      <c r="Q45" s="79"/>
      <c r="R45" s="79"/>
      <c r="S45" s="79"/>
      <c r="T45" s="79"/>
    </row>
    <row r="46" spans="1:25">
      <c r="A46" s="4">
        <f t="shared" si="0"/>
        <v>35</v>
      </c>
      <c r="B46" s="144">
        <v>8140</v>
      </c>
      <c r="C46" s="6" t="s">
        <v>272</v>
      </c>
      <c r="D46" s="134">
        <v>-6.1132019446031638</v>
      </c>
      <c r="E46" s="134">
        <v>-6.1132019446031638</v>
      </c>
      <c r="F46" s="134">
        <v>-6.1132019446031638</v>
      </c>
      <c r="G46" s="134">
        <v>-6.1665923545996977</v>
      </c>
      <c r="H46" s="134">
        <v>-6.1132019446031638</v>
      </c>
      <c r="I46" s="134">
        <v>-6.1132019446031638</v>
      </c>
      <c r="J46" s="134">
        <v>-6.1132019446031638</v>
      </c>
      <c r="K46" s="134">
        <v>-6.1132019446031638</v>
      </c>
      <c r="L46" s="134">
        <v>-6.1132019446031638</v>
      </c>
      <c r="M46" s="134">
        <v>-6.1132019446031638</v>
      </c>
      <c r="N46" s="134">
        <v>-6.1132019446031638</v>
      </c>
      <c r="O46" s="134">
        <v>-6.1132019446031638</v>
      </c>
      <c r="P46" s="5">
        <f t="shared" si="3"/>
        <v>-73.411813745234497</v>
      </c>
      <c r="Q46" s="79"/>
      <c r="R46" s="79"/>
      <c r="S46" s="6"/>
      <c r="Y46" s="267"/>
    </row>
    <row r="47" spans="1:25">
      <c r="A47" s="4">
        <f t="shared" si="0"/>
        <v>36</v>
      </c>
      <c r="B47" s="144">
        <v>8160</v>
      </c>
      <c r="C47" s="6" t="s">
        <v>273</v>
      </c>
      <c r="D47" s="134">
        <v>7724.1798474401849</v>
      </c>
      <c r="E47" s="134">
        <v>7584.4239057910418</v>
      </c>
      <c r="F47" s="134">
        <v>7771.4404543842311</v>
      </c>
      <c r="G47" s="134">
        <v>7654.8688171620433</v>
      </c>
      <c r="H47" s="134">
        <v>7628.922544987844</v>
      </c>
      <c r="I47" s="134">
        <v>7489.7638815541386</v>
      </c>
      <c r="J47" s="134">
        <v>7798.7318158535008</v>
      </c>
      <c r="K47" s="134">
        <v>7488.0740974200744</v>
      </c>
      <c r="L47" s="134">
        <v>7563.2007337920113</v>
      </c>
      <c r="M47" s="134">
        <v>7910.1008609331993</v>
      </c>
      <c r="N47" s="134">
        <v>7636.2850516445606</v>
      </c>
      <c r="O47" s="134">
        <v>7756.9162093391888</v>
      </c>
      <c r="P47" s="5">
        <f t="shared" si="3"/>
        <v>92006.908220302023</v>
      </c>
      <c r="Q47" s="6"/>
      <c r="R47" s="6"/>
      <c r="S47" s="6"/>
      <c r="Y47" s="267"/>
    </row>
    <row r="48" spans="1:25">
      <c r="A48" s="4">
        <f t="shared" si="0"/>
        <v>37</v>
      </c>
      <c r="B48" s="144">
        <v>8170</v>
      </c>
      <c r="C48" s="6" t="s">
        <v>274</v>
      </c>
      <c r="D48" s="134">
        <v>3075.6659633699819</v>
      </c>
      <c r="E48" s="134">
        <v>2971.9310262555946</v>
      </c>
      <c r="F48" s="134">
        <v>3097.1717375652397</v>
      </c>
      <c r="G48" s="134">
        <v>3021.8272444521544</v>
      </c>
      <c r="H48" s="134">
        <v>3043.3731036870918</v>
      </c>
      <c r="I48" s="134">
        <v>2939.0276381487611</v>
      </c>
      <c r="J48" s="134">
        <v>3176.6348526299553</v>
      </c>
      <c r="K48" s="134">
        <v>2940.6797149757899</v>
      </c>
      <c r="L48" s="134">
        <v>3007.8054791365503</v>
      </c>
      <c r="M48" s="134">
        <v>3156.1534797827212</v>
      </c>
      <c r="N48" s="134">
        <v>2958.5797750196784</v>
      </c>
      <c r="O48" s="134">
        <v>3045.9761936103387</v>
      </c>
      <c r="P48" s="5">
        <f t="shared" si="3"/>
        <v>36434.826208633858</v>
      </c>
      <c r="Q48" s="6"/>
      <c r="R48" s="6"/>
      <c r="S48" s="6"/>
      <c r="Y48" s="267"/>
    </row>
    <row r="49" spans="1:25">
      <c r="A49" s="4">
        <f t="shared" si="0"/>
        <v>38</v>
      </c>
      <c r="B49" s="144">
        <v>8180</v>
      </c>
      <c r="C49" s="6" t="s">
        <v>275</v>
      </c>
      <c r="D49" s="134">
        <v>2324.0011363156045</v>
      </c>
      <c r="E49" s="134">
        <v>2266.9605814594679</v>
      </c>
      <c r="F49" s="134">
        <v>2222.0881120995386</v>
      </c>
      <c r="G49" s="134">
        <v>2206.2458007459081</v>
      </c>
      <c r="H49" s="134">
        <v>2145.6183437172594</v>
      </c>
      <c r="I49" s="134">
        <v>2094.9047943306991</v>
      </c>
      <c r="J49" s="134">
        <v>2249.1885997040445</v>
      </c>
      <c r="K49" s="134">
        <v>2092.3480273241248</v>
      </c>
      <c r="L49" s="134">
        <v>2221.4905781971779</v>
      </c>
      <c r="M49" s="134">
        <v>2223.8444746185023</v>
      </c>
      <c r="N49" s="134">
        <v>2130.936297123551</v>
      </c>
      <c r="O49" s="134">
        <v>2149.7881976870581</v>
      </c>
      <c r="P49" s="5">
        <f t="shared" si="3"/>
        <v>26327.414943322936</v>
      </c>
      <c r="Q49" s="6"/>
      <c r="R49" s="6"/>
      <c r="S49" s="6"/>
      <c r="Y49" s="267"/>
    </row>
    <row r="50" spans="1:25">
      <c r="A50" s="4">
        <f t="shared" si="0"/>
        <v>39</v>
      </c>
      <c r="B50" s="144">
        <v>8190</v>
      </c>
      <c r="C50" s="6" t="s">
        <v>276</v>
      </c>
      <c r="D50" s="134">
        <v>57.58292137328246</v>
      </c>
      <c r="E50" s="134">
        <v>57.592788262940701</v>
      </c>
      <c r="F50" s="134">
        <v>55.480040514868769</v>
      </c>
      <c r="G50" s="134">
        <v>60.947086736709757</v>
      </c>
      <c r="H50" s="134">
        <v>57.353516188728236</v>
      </c>
      <c r="I50" s="134">
        <v>56.318726135819681</v>
      </c>
      <c r="J50" s="134">
        <v>60.176679992193883</v>
      </c>
      <c r="K50" s="134">
        <v>58.351305405418366</v>
      </c>
      <c r="L50" s="134">
        <v>60.272882166361782</v>
      </c>
      <c r="M50" s="134">
        <v>55.630510582157022</v>
      </c>
      <c r="N50" s="134">
        <v>58.334038348516437</v>
      </c>
      <c r="O50" s="134">
        <v>58.625111593434696</v>
      </c>
      <c r="P50" s="5">
        <f t="shared" si="3"/>
        <v>696.66560730043182</v>
      </c>
      <c r="Q50" s="6"/>
      <c r="R50" s="6"/>
      <c r="S50" s="6"/>
      <c r="Y50" s="267"/>
    </row>
    <row r="51" spans="1:25">
      <c r="A51" s="4">
        <f t="shared" si="0"/>
        <v>40</v>
      </c>
      <c r="B51" s="144">
        <v>8200</v>
      </c>
      <c r="C51" s="6" t="s">
        <v>277</v>
      </c>
      <c r="D51" s="134">
        <v>225.9700595008818</v>
      </c>
      <c r="E51" s="134">
        <v>221.90138388223352</v>
      </c>
      <c r="F51" s="134">
        <v>225.52264566206208</v>
      </c>
      <c r="G51" s="134">
        <v>233.2289082031611</v>
      </c>
      <c r="H51" s="134">
        <v>228.52677997756399</v>
      </c>
      <c r="I51" s="134">
        <v>222.08135249816701</v>
      </c>
      <c r="J51" s="134">
        <v>238.83097570288231</v>
      </c>
      <c r="K51" s="134">
        <v>226.46704220111764</v>
      </c>
      <c r="L51" s="134">
        <v>230.61322215087313</v>
      </c>
      <c r="M51" s="134">
        <v>229.02172069980219</v>
      </c>
      <c r="N51" s="134">
        <v>226.42978512839841</v>
      </c>
      <c r="O51" s="134">
        <v>231.27049726138807</v>
      </c>
      <c r="P51" s="5">
        <f t="shared" si="3"/>
        <v>2739.864372868532</v>
      </c>
      <c r="Q51" s="6"/>
      <c r="R51" s="6"/>
      <c r="S51" s="6"/>
      <c r="Y51" s="267"/>
    </row>
    <row r="52" spans="1:25">
      <c r="A52" s="4">
        <f t="shared" si="0"/>
        <v>41</v>
      </c>
      <c r="B52" s="144">
        <v>8210</v>
      </c>
      <c r="C52" s="6" t="s">
        <v>278</v>
      </c>
      <c r="D52" s="134">
        <v>3932.806246963356</v>
      </c>
      <c r="E52" s="134">
        <v>3882.2732480834657</v>
      </c>
      <c r="F52" s="134">
        <v>3904.643909067895</v>
      </c>
      <c r="G52" s="134">
        <v>3887.6179400797801</v>
      </c>
      <c r="H52" s="134">
        <v>3828.640625165242</v>
      </c>
      <c r="I52" s="134">
        <v>3777.0712286506541</v>
      </c>
      <c r="J52" s="134">
        <v>3909.1242539439404</v>
      </c>
      <c r="K52" s="134">
        <v>3781.4086229502764</v>
      </c>
      <c r="L52" s="134">
        <v>3846.0831282616637</v>
      </c>
      <c r="M52" s="134">
        <v>3955.5909687260687</v>
      </c>
      <c r="N52" s="134">
        <v>3870.0834747555145</v>
      </c>
      <c r="O52" s="134">
        <v>3904.3105415452428</v>
      </c>
      <c r="P52" s="5">
        <f t="shared" si="3"/>
        <v>46479.654188193097</v>
      </c>
      <c r="Q52" s="6"/>
      <c r="R52" s="6"/>
      <c r="S52" s="6"/>
      <c r="Y52" s="267"/>
    </row>
    <row r="53" spans="1:25">
      <c r="A53" s="4">
        <f t="shared" si="0"/>
        <v>42</v>
      </c>
      <c r="B53" s="144">
        <v>8240</v>
      </c>
      <c r="C53" s="6" t="s">
        <v>279</v>
      </c>
      <c r="D53" s="134">
        <v>122.28756794177505</v>
      </c>
      <c r="E53" s="134">
        <v>121.77422395597529</v>
      </c>
      <c r="F53" s="134">
        <v>104.8249954743697</v>
      </c>
      <c r="G53" s="134">
        <v>110.64086300480642</v>
      </c>
      <c r="H53" s="134">
        <v>98.757307539375049</v>
      </c>
      <c r="I53" s="134">
        <v>98.746649160319009</v>
      </c>
      <c r="J53" s="134">
        <v>105.11658916523702</v>
      </c>
      <c r="K53" s="134">
        <v>99.159453310784343</v>
      </c>
      <c r="L53" s="134">
        <v>113.83917920073242</v>
      </c>
      <c r="M53" s="134">
        <v>100.5347746805683</v>
      </c>
      <c r="N53" s="134">
        <v>103.06027190373716</v>
      </c>
      <c r="O53" s="134">
        <v>99.357637227610212</v>
      </c>
      <c r="P53" s="5">
        <f t="shared" si="3"/>
        <v>1278.0995125652898</v>
      </c>
      <c r="Q53" s="6"/>
      <c r="R53" s="6"/>
      <c r="S53" s="6"/>
      <c r="Y53" s="267"/>
    </row>
    <row r="54" spans="1:25">
      <c r="A54" s="4">
        <f t="shared" si="0"/>
        <v>43</v>
      </c>
      <c r="B54" s="144">
        <v>8250</v>
      </c>
      <c r="C54" s="6" t="s">
        <v>280</v>
      </c>
      <c r="D54" s="134">
        <v>609.08218256567534</v>
      </c>
      <c r="E54" s="134">
        <v>609.18463434096066</v>
      </c>
      <c r="F54" s="134">
        <v>587.24714795798582</v>
      </c>
      <c r="G54" s="134">
        <v>644.11123619581826</v>
      </c>
      <c r="H54" s="134">
        <v>606.70017879029103</v>
      </c>
      <c r="I54" s="134">
        <v>595.95554885724027</v>
      </c>
      <c r="J54" s="134">
        <v>636.01419299381087</v>
      </c>
      <c r="K54" s="134">
        <v>617.06061456602174</v>
      </c>
      <c r="L54" s="134">
        <v>637.01309780284305</v>
      </c>
      <c r="M54" s="134">
        <v>588.80953753108724</v>
      </c>
      <c r="N54" s="134">
        <v>616.88132395927232</v>
      </c>
      <c r="O54" s="134">
        <v>619.90365133019009</v>
      </c>
      <c r="P54" s="5">
        <f t="shared" si="3"/>
        <v>7367.963346891197</v>
      </c>
      <c r="Q54" s="6"/>
      <c r="R54" s="6"/>
      <c r="Y54" s="267"/>
    </row>
    <row r="55" spans="1:25">
      <c r="A55" s="4">
        <f t="shared" si="0"/>
        <v>44</v>
      </c>
      <c r="B55" s="144">
        <v>8310</v>
      </c>
      <c r="C55" s="6" t="s">
        <v>281</v>
      </c>
      <c r="D55" s="134">
        <v>320.86994582042246</v>
      </c>
      <c r="E55" s="134">
        <v>320.86994582042246</v>
      </c>
      <c r="F55" s="134">
        <v>320.86994582042246</v>
      </c>
      <c r="G55" s="134">
        <v>320.85051005284851</v>
      </c>
      <c r="H55" s="134">
        <v>314.79626845355949</v>
      </c>
      <c r="I55" s="134">
        <v>314.79626845355949</v>
      </c>
      <c r="J55" s="134">
        <v>314.79626845355949</v>
      </c>
      <c r="K55" s="134">
        <v>314.79626845355949</v>
      </c>
      <c r="L55" s="134">
        <v>314.79626845355949</v>
      </c>
      <c r="M55" s="134">
        <v>325.59445698819292</v>
      </c>
      <c r="N55" s="134">
        <v>325.59445698819292</v>
      </c>
      <c r="O55" s="134">
        <v>325.59283734089507</v>
      </c>
      <c r="P55" s="5">
        <f t="shared" si="3"/>
        <v>3834.223441099195</v>
      </c>
      <c r="Q55" s="6"/>
      <c r="R55" s="224"/>
      <c r="S55" s="6"/>
      <c r="Y55" s="267"/>
    </row>
    <row r="56" spans="1:25">
      <c r="A56" s="4">
        <f t="shared" si="0"/>
        <v>45</v>
      </c>
      <c r="B56" s="144">
        <v>8340</v>
      </c>
      <c r="C56" s="6" t="s">
        <v>282</v>
      </c>
      <c r="D56" s="134">
        <v>291.63693455376801</v>
      </c>
      <c r="E56" s="134">
        <v>287.47845085735457</v>
      </c>
      <c r="F56" s="134">
        <v>259.29260407842963</v>
      </c>
      <c r="G56" s="134">
        <v>264.40654277938745</v>
      </c>
      <c r="H56" s="134">
        <v>244.23689205496743</v>
      </c>
      <c r="I56" s="134">
        <v>241.8439858442643</v>
      </c>
      <c r="J56" s="134">
        <v>258.72590485209503</v>
      </c>
      <c r="K56" s="134">
        <v>241.17712111608319</v>
      </c>
      <c r="L56" s="134">
        <v>270.82546668482922</v>
      </c>
      <c r="M56" s="134">
        <v>252.4652030535687</v>
      </c>
      <c r="N56" s="134">
        <v>249.45589168697381</v>
      </c>
      <c r="O56" s="134">
        <v>244.5445432489982</v>
      </c>
      <c r="P56" s="5">
        <f t="shared" si="3"/>
        <v>3106.0895408107194</v>
      </c>
      <c r="Q56" s="6"/>
      <c r="R56" s="224"/>
      <c r="S56" s="6"/>
      <c r="Y56" s="267"/>
    </row>
    <row r="57" spans="1:25">
      <c r="A57" s="4">
        <f t="shared" si="0"/>
        <v>46</v>
      </c>
      <c r="B57" s="144">
        <v>8350</v>
      </c>
      <c r="C57" s="6" t="s">
        <v>283</v>
      </c>
      <c r="D57" s="134">
        <v>200.02387050858761</v>
      </c>
      <c r="E57" s="134">
        <v>192.11756888816376</v>
      </c>
      <c r="F57" s="134">
        <v>207.27418458850309</v>
      </c>
      <c r="G57" s="134">
        <v>199.53451651951954</v>
      </c>
      <c r="H57" s="134">
        <v>205.01553721225585</v>
      </c>
      <c r="I57" s="134">
        <v>196.90601746478609</v>
      </c>
      <c r="J57" s="134">
        <v>213.34243458907835</v>
      </c>
      <c r="K57" s="134">
        <v>196.89403332156817</v>
      </c>
      <c r="L57" s="134">
        <v>197.42684005800976</v>
      </c>
      <c r="M57" s="134">
        <v>213.22992429452003</v>
      </c>
      <c r="N57" s="134">
        <v>197.04281007942797</v>
      </c>
      <c r="O57" s="134">
        <v>205.0210659736592</v>
      </c>
      <c r="P57" s="5">
        <f t="shared" si="3"/>
        <v>2423.8288034980792</v>
      </c>
      <c r="Q57" s="6"/>
      <c r="R57" s="224"/>
      <c r="S57" s="6"/>
      <c r="Y57" s="267"/>
    </row>
    <row r="58" spans="1:25">
      <c r="A58" s="4">
        <f t="shared" si="0"/>
        <v>47</v>
      </c>
      <c r="B58" s="144">
        <v>8360</v>
      </c>
      <c r="C58" s="6" t="s">
        <v>284</v>
      </c>
      <c r="D58" s="134">
        <v>20.387912110986417</v>
      </c>
      <c r="E58" s="134">
        <v>19.568182237875604</v>
      </c>
      <c r="F58" s="134">
        <v>21.207641984097229</v>
      </c>
      <c r="G58" s="134">
        <v>20.387912110986417</v>
      </c>
      <c r="H58" s="134">
        <v>20.999549474316009</v>
      </c>
      <c r="I58" s="134">
        <v>20.155227705011875</v>
      </c>
      <c r="J58" s="134">
        <v>21.843871243620146</v>
      </c>
      <c r="K58" s="134">
        <v>20.155227705011875</v>
      </c>
      <c r="L58" s="134">
        <v>20.155227705011875</v>
      </c>
      <c r="M58" s="134">
        <v>21.843871243620146</v>
      </c>
      <c r="N58" s="134">
        <v>20.155227705011875</v>
      </c>
      <c r="O58" s="134">
        <v>20.999549474316009</v>
      </c>
      <c r="P58" s="5">
        <f t="shared" si="3"/>
        <v>247.85940069986549</v>
      </c>
      <c r="Q58" s="6"/>
      <c r="R58" s="224"/>
      <c r="S58" s="6"/>
      <c r="Y58" s="267"/>
    </row>
    <row r="59" spans="1:25">
      <c r="A59" s="4">
        <f t="shared" si="0"/>
        <v>48</v>
      </c>
      <c r="B59" s="144">
        <v>8370</v>
      </c>
      <c r="C59" s="6" t="s">
        <v>126</v>
      </c>
      <c r="D59" s="134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5">
        <f t="shared" si="3"/>
        <v>0</v>
      </c>
      <c r="Q59" s="6"/>
      <c r="R59" s="224"/>
      <c r="S59" s="6"/>
      <c r="Y59" s="267"/>
    </row>
    <row r="60" spans="1:25">
      <c r="A60" s="4">
        <f t="shared" si="0"/>
        <v>49</v>
      </c>
      <c r="B60" s="144">
        <v>8410</v>
      </c>
      <c r="C60" s="6" t="s">
        <v>285</v>
      </c>
      <c r="D60" s="134">
        <v>10645.612227755166</v>
      </c>
      <c r="E60" s="134">
        <v>10222.484128913829</v>
      </c>
      <c r="F60" s="134">
        <v>11056.239172702401</v>
      </c>
      <c r="G60" s="134">
        <v>10640.369085146425</v>
      </c>
      <c r="H60" s="134">
        <v>10976.565567748243</v>
      </c>
      <c r="I60" s="134">
        <v>10512.911534171833</v>
      </c>
      <c r="J60" s="134">
        <v>11393.781023987289</v>
      </c>
      <c r="K60" s="134">
        <v>10509.83445295761</v>
      </c>
      <c r="L60" s="134">
        <v>10514.719087197984</v>
      </c>
      <c r="M60" s="134">
        <v>11388.892038266453</v>
      </c>
      <c r="N60" s="134">
        <v>10524.570644122701</v>
      </c>
      <c r="O60" s="134">
        <v>10950.171240844327</v>
      </c>
      <c r="P60" s="5">
        <f t="shared" si="3"/>
        <v>129336.15020381426</v>
      </c>
      <c r="Q60" s="6"/>
      <c r="R60" s="224"/>
      <c r="S60" s="6"/>
      <c r="Y60" s="267"/>
    </row>
    <row r="61" spans="1:25">
      <c r="A61" s="4">
        <f t="shared" si="0"/>
        <v>50</v>
      </c>
      <c r="B61" s="144">
        <v>8520</v>
      </c>
      <c r="C61" s="6" t="s">
        <v>131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5">
        <f t="shared" si="3"/>
        <v>0</v>
      </c>
      <c r="Q61" s="6"/>
      <c r="R61" s="224"/>
      <c r="S61" s="6"/>
      <c r="Y61" s="267"/>
    </row>
    <row r="62" spans="1:25">
      <c r="A62" s="4">
        <f t="shared" si="0"/>
        <v>51</v>
      </c>
      <c r="B62" s="144">
        <v>8550</v>
      </c>
      <c r="C62" s="145" t="s">
        <v>286</v>
      </c>
      <c r="D62" s="134">
        <v>4.1529349398989162</v>
      </c>
      <c r="E62" s="134">
        <v>4.1536465493454777</v>
      </c>
      <c r="F62" s="134">
        <v>4.0012731766004173</v>
      </c>
      <c r="G62" s="134">
        <v>4.3955617387514199</v>
      </c>
      <c r="H62" s="134">
        <v>4.1363900202663526</v>
      </c>
      <c r="I62" s="134">
        <v>4.0617599795581762</v>
      </c>
      <c r="J62" s="134">
        <v>4.3399992731638681</v>
      </c>
      <c r="K62" s="134">
        <v>4.2083515255499222</v>
      </c>
      <c r="L62" s="134">
        <v>4.3469374652678461</v>
      </c>
      <c r="M62" s="134">
        <v>4.0121252206604856</v>
      </c>
      <c r="N62" s="134">
        <v>4.2071062090184386</v>
      </c>
      <c r="O62" s="134">
        <v>4.2280986876920137</v>
      </c>
      <c r="P62" s="5">
        <f t="shared" si="3"/>
        <v>50.244184785773342</v>
      </c>
      <c r="Q62" s="6"/>
      <c r="R62" s="224"/>
      <c r="S62" s="6"/>
      <c r="Y62" s="267"/>
    </row>
    <row r="63" spans="1:25">
      <c r="A63" s="4">
        <f t="shared" si="0"/>
        <v>52</v>
      </c>
      <c r="B63" s="144">
        <v>8560</v>
      </c>
      <c r="C63" s="6" t="s">
        <v>287</v>
      </c>
      <c r="D63" s="134">
        <v>25812.842043372275</v>
      </c>
      <c r="E63" s="134">
        <v>25591.392860703771</v>
      </c>
      <c r="F63" s="134">
        <v>26017.977168608661</v>
      </c>
      <c r="G63" s="134">
        <v>25692.729134923837</v>
      </c>
      <c r="H63" s="134">
        <v>25640.959799519318</v>
      </c>
      <c r="I63" s="134">
        <v>24969.288971364091</v>
      </c>
      <c r="J63" s="134">
        <v>26055.178627343412</v>
      </c>
      <c r="K63" s="134">
        <v>24961.669237598609</v>
      </c>
      <c r="L63" s="134">
        <v>25124.024199215804</v>
      </c>
      <c r="M63" s="134">
        <v>26322.692453660671</v>
      </c>
      <c r="N63" s="134">
        <v>25889.446080857339</v>
      </c>
      <c r="O63" s="134">
        <v>25762.975515062768</v>
      </c>
      <c r="P63" s="5">
        <f t="shared" si="3"/>
        <v>307841.17609223054</v>
      </c>
      <c r="Q63" s="6"/>
      <c r="R63" s="224"/>
      <c r="S63" s="6"/>
      <c r="Y63" s="267"/>
    </row>
    <row r="64" spans="1:25">
      <c r="A64" s="4">
        <f t="shared" si="0"/>
        <v>53</v>
      </c>
      <c r="B64" s="144">
        <v>8570</v>
      </c>
      <c r="C64" s="6" t="s">
        <v>288</v>
      </c>
      <c r="D64" s="134">
        <v>2819.8055510681033</v>
      </c>
      <c r="E64" s="134">
        <v>2739.7455682343807</v>
      </c>
      <c r="F64" s="134">
        <v>2822.6873972882563</v>
      </c>
      <c r="G64" s="134">
        <v>2807.3294873012223</v>
      </c>
      <c r="H64" s="134">
        <v>2797.2435011534976</v>
      </c>
      <c r="I64" s="134">
        <v>2708.2186208403709</v>
      </c>
      <c r="J64" s="134">
        <v>2921.8671166327777</v>
      </c>
      <c r="K64" s="134">
        <v>2725.768776736174</v>
      </c>
      <c r="L64" s="134">
        <v>2790.4832886671647</v>
      </c>
      <c r="M64" s="134">
        <v>2870.2927256163248</v>
      </c>
      <c r="N64" s="134">
        <v>2738.7683275646186</v>
      </c>
      <c r="O64" s="134">
        <v>2809.3750133042113</v>
      </c>
      <c r="P64" s="5">
        <f t="shared" si="3"/>
        <v>33551.585374407099</v>
      </c>
      <c r="Q64" s="6"/>
      <c r="R64" s="224"/>
      <c r="S64" s="6"/>
      <c r="Y64" s="267"/>
    </row>
    <row r="65" spans="1:25">
      <c r="A65" s="4">
        <f t="shared" si="0"/>
        <v>54</v>
      </c>
      <c r="B65" s="144">
        <v>8630</v>
      </c>
      <c r="C65" s="6" t="s">
        <v>289</v>
      </c>
      <c r="D65" s="134">
        <v>486.12976965845797</v>
      </c>
      <c r="E65" s="134">
        <v>466.58411475136342</v>
      </c>
      <c r="F65" s="134">
        <v>505.6754245655527</v>
      </c>
      <c r="G65" s="134">
        <v>486.12976965845797</v>
      </c>
      <c r="H65" s="134">
        <v>500.71366274821179</v>
      </c>
      <c r="I65" s="134">
        <v>480.58163819390427</v>
      </c>
      <c r="J65" s="134">
        <v>520.84568730251931</v>
      </c>
      <c r="K65" s="134">
        <v>480.58163819390427</v>
      </c>
      <c r="L65" s="134">
        <v>480.58163819390427</v>
      </c>
      <c r="M65" s="134">
        <v>520.84568730251931</v>
      </c>
      <c r="N65" s="134">
        <v>480.58163819390427</v>
      </c>
      <c r="O65" s="134">
        <v>500.71366274821179</v>
      </c>
      <c r="P65" s="5">
        <f t="shared" si="3"/>
        <v>5909.9643315109106</v>
      </c>
      <c r="Q65" s="6"/>
      <c r="R65" s="224"/>
      <c r="S65" s="6"/>
      <c r="Y65" s="267"/>
    </row>
    <row r="66" spans="1:25">
      <c r="A66" s="4">
        <f t="shared" si="0"/>
        <v>55</v>
      </c>
      <c r="B66" s="144">
        <v>8640</v>
      </c>
      <c r="C66" s="6" t="s">
        <v>290</v>
      </c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5">
        <f t="shared" si="3"/>
        <v>0</v>
      </c>
      <c r="Q66" s="6"/>
      <c r="R66" s="224"/>
      <c r="S66" s="6"/>
      <c r="Y66" s="267"/>
    </row>
    <row r="67" spans="1:25">
      <c r="A67" s="4">
        <f t="shared" si="0"/>
        <v>56</v>
      </c>
      <c r="B67" s="144">
        <v>8650</v>
      </c>
      <c r="C67" s="6" t="s">
        <v>291</v>
      </c>
      <c r="D67" s="134">
        <v>478.03987248767186</v>
      </c>
      <c r="E67" s="134">
        <v>459.11404964614985</v>
      </c>
      <c r="F67" s="134">
        <v>496.26585987824342</v>
      </c>
      <c r="G67" s="134">
        <v>477.46005785412859</v>
      </c>
      <c r="H67" s="134">
        <v>491.12276721089353</v>
      </c>
      <c r="I67" s="134">
        <v>471.52000033118452</v>
      </c>
      <c r="J67" s="134">
        <v>510.86661983238918</v>
      </c>
      <c r="K67" s="134">
        <v>471.49801239757392</v>
      </c>
      <c r="L67" s="134">
        <v>472.12043912954903</v>
      </c>
      <c r="M67" s="134">
        <v>510.76090466699458</v>
      </c>
      <c r="N67" s="134">
        <v>471.87597138408449</v>
      </c>
      <c r="O67" s="134">
        <v>491.07086736121408</v>
      </c>
      <c r="P67" s="5">
        <f t="shared" si="3"/>
        <v>5801.7154221800774</v>
      </c>
      <c r="Q67" s="6"/>
      <c r="R67" s="224"/>
      <c r="S67" s="6"/>
      <c r="Y67" s="267"/>
    </row>
    <row r="68" spans="1:25">
      <c r="A68" s="4">
        <f t="shared" si="0"/>
        <v>57</v>
      </c>
      <c r="B68" s="144">
        <v>8700</v>
      </c>
      <c r="C68" s="6" t="s">
        <v>292</v>
      </c>
      <c r="D68" s="134">
        <v>88762.110169980078</v>
      </c>
      <c r="E68" s="134">
        <v>86602.942689165386</v>
      </c>
      <c r="F68" s="134">
        <v>88417.214510360835</v>
      </c>
      <c r="G68" s="134">
        <v>90658.520908078834</v>
      </c>
      <c r="H68" s="134">
        <v>91585.963794476047</v>
      </c>
      <c r="I68" s="134">
        <v>86735.553157831106</v>
      </c>
      <c r="J68" s="134">
        <v>91562.138461354087</v>
      </c>
      <c r="K68" s="134">
        <v>87447.781151427393</v>
      </c>
      <c r="L68" s="134">
        <v>86534.246397565381</v>
      </c>
      <c r="M68" s="134">
        <v>90440.208532591059</v>
      </c>
      <c r="N68" s="134">
        <v>89515.107551907437</v>
      </c>
      <c r="O68" s="134">
        <v>88078.206284641521</v>
      </c>
      <c r="P68" s="5">
        <f t="shared" si="3"/>
        <v>1066339.993609379</v>
      </c>
      <c r="Q68" s="6"/>
      <c r="R68" s="224"/>
      <c r="S68" s="6"/>
      <c r="Y68" s="267"/>
    </row>
    <row r="69" spans="1:25">
      <c r="A69" s="4">
        <f t="shared" si="0"/>
        <v>58</v>
      </c>
      <c r="B69" s="144">
        <v>8710</v>
      </c>
      <c r="C69" s="6" t="s">
        <v>293</v>
      </c>
      <c r="D69" s="134">
        <v>146.74119997432862</v>
      </c>
      <c r="E69" s="134">
        <v>146.76634422185785</v>
      </c>
      <c r="F69" s="134">
        <v>141.38233221966402</v>
      </c>
      <c r="G69" s="134">
        <v>155.31425689065324</v>
      </c>
      <c r="H69" s="134">
        <v>146.15659621927432</v>
      </c>
      <c r="I69" s="134">
        <v>143.51959325964756</v>
      </c>
      <c r="J69" s="134">
        <v>153.35099404357183</v>
      </c>
      <c r="K69" s="134">
        <v>148.69930825066649</v>
      </c>
      <c r="L69" s="134">
        <v>153.59615045698172</v>
      </c>
      <c r="M69" s="134">
        <v>141.7657819944846</v>
      </c>
      <c r="N69" s="134">
        <v>148.65530581749036</v>
      </c>
      <c r="O69" s="134">
        <v>149.39706111960228</v>
      </c>
      <c r="P69" s="5">
        <f t="shared" si="3"/>
        <v>1775.3449244682231</v>
      </c>
      <c r="Q69" s="6"/>
      <c r="R69" s="224"/>
      <c r="S69" s="6"/>
      <c r="Y69" s="267"/>
    </row>
    <row r="70" spans="1:25">
      <c r="A70" s="4">
        <f t="shared" si="0"/>
        <v>59</v>
      </c>
      <c r="B70" s="144">
        <v>8711</v>
      </c>
      <c r="C70" s="145" t="s">
        <v>294</v>
      </c>
      <c r="D70" s="134">
        <v>964.0722296294233</v>
      </c>
      <c r="E70" s="134">
        <v>959.17136349513373</v>
      </c>
      <c r="F70" s="134">
        <v>805.63383541723613</v>
      </c>
      <c r="G70" s="134">
        <v>842.22430770086987</v>
      </c>
      <c r="H70" s="134">
        <v>741.74361145870284</v>
      </c>
      <c r="I70" s="134">
        <v>745.15439402452182</v>
      </c>
      <c r="J70" s="134">
        <v>792.45931606185661</v>
      </c>
      <c r="K70" s="134">
        <v>742.17037227376738</v>
      </c>
      <c r="L70" s="134">
        <v>874.83791984721836</v>
      </c>
      <c r="M70" s="134">
        <v>764.44453352455525</v>
      </c>
      <c r="N70" s="134">
        <v>779.21541365783446</v>
      </c>
      <c r="O70" s="134">
        <v>743.12025924923353</v>
      </c>
      <c r="P70" s="5">
        <f t="shared" si="3"/>
        <v>9754.2475563403532</v>
      </c>
      <c r="Q70" s="6"/>
      <c r="R70" s="224"/>
      <c r="S70" s="6"/>
      <c r="Y70" s="267"/>
    </row>
    <row r="71" spans="1:25">
      <c r="A71" s="4">
        <f t="shared" si="0"/>
        <v>60</v>
      </c>
      <c r="B71" s="144">
        <v>8720</v>
      </c>
      <c r="C71" s="145" t="s">
        <v>295</v>
      </c>
      <c r="D71" s="134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5">
        <f t="shared" si="3"/>
        <v>0</v>
      </c>
      <c r="Q71" s="6"/>
      <c r="R71" s="224"/>
      <c r="S71" s="6"/>
      <c r="Y71" s="267"/>
    </row>
    <row r="72" spans="1:25">
      <c r="A72" s="4">
        <f t="shared" si="0"/>
        <v>61</v>
      </c>
      <c r="B72" s="144">
        <v>8740</v>
      </c>
      <c r="C72" s="6" t="s">
        <v>296</v>
      </c>
      <c r="D72" s="134">
        <v>308018.05910213629</v>
      </c>
      <c r="E72" s="134">
        <v>309349.52166981826</v>
      </c>
      <c r="F72" s="134">
        <v>309025.13052715425</v>
      </c>
      <c r="G72" s="134">
        <v>306303.50711802038</v>
      </c>
      <c r="H72" s="134">
        <v>305314.99493918766</v>
      </c>
      <c r="I72" s="134">
        <v>294529.16281658958</v>
      </c>
      <c r="J72" s="134">
        <v>306720.38536952244</v>
      </c>
      <c r="K72" s="134">
        <v>293960.44802119985</v>
      </c>
      <c r="L72" s="134">
        <v>295605.57302313967</v>
      </c>
      <c r="M72" s="134">
        <v>309842.08439534419</v>
      </c>
      <c r="N72" s="134">
        <v>312463.30240666674</v>
      </c>
      <c r="O72" s="134">
        <v>302217.39838210109</v>
      </c>
      <c r="P72" s="5">
        <f t="shared" si="3"/>
        <v>3653349.5677708811</v>
      </c>
      <c r="Q72" s="6"/>
      <c r="R72" s="224"/>
      <c r="S72" s="6"/>
      <c r="Y72" s="267"/>
    </row>
    <row r="73" spans="1:25">
      <c r="A73" s="4">
        <f t="shared" si="0"/>
        <v>62</v>
      </c>
      <c r="B73" s="144">
        <v>8750</v>
      </c>
      <c r="C73" s="6" t="s">
        <v>297</v>
      </c>
      <c r="D73" s="134">
        <v>33014.032368981476</v>
      </c>
      <c r="E73" s="134">
        <v>31900.934339507297</v>
      </c>
      <c r="F73" s="134">
        <v>33472.943046264161</v>
      </c>
      <c r="G73" s="134">
        <v>32589.793269783873</v>
      </c>
      <c r="H73" s="134">
        <v>33019.537907893857</v>
      </c>
      <c r="I73" s="134">
        <v>31825.520870907534</v>
      </c>
      <c r="J73" s="134">
        <v>34352.644543968185</v>
      </c>
      <c r="K73" s="134">
        <v>31830.355185540102</v>
      </c>
      <c r="L73" s="134">
        <v>32354.502365408764</v>
      </c>
      <c r="M73" s="134">
        <v>34189.505029661013</v>
      </c>
      <c r="N73" s="134">
        <v>32038.526338395895</v>
      </c>
      <c r="O73" s="134">
        <v>33000.075930596686</v>
      </c>
      <c r="P73" s="5">
        <f t="shared" si="3"/>
        <v>393588.37119690882</v>
      </c>
      <c r="Q73" s="6"/>
      <c r="R73" s="224"/>
      <c r="S73" s="6"/>
      <c r="Y73" s="267"/>
    </row>
    <row r="74" spans="1:25">
      <c r="A74" s="4">
        <f t="shared" si="0"/>
        <v>63</v>
      </c>
      <c r="B74" s="144">
        <v>8760</v>
      </c>
      <c r="C74" s="6" t="s">
        <v>298</v>
      </c>
      <c r="D74" s="134">
        <v>2837.7132432098706</v>
      </c>
      <c r="E74" s="134">
        <v>2761.5889820994785</v>
      </c>
      <c r="F74" s="134">
        <v>2752.8021136928023</v>
      </c>
      <c r="G74" s="134">
        <v>2717.5770529366382</v>
      </c>
      <c r="H74" s="134">
        <v>2669.5555582943371</v>
      </c>
      <c r="I74" s="134">
        <v>2599.4869360103153</v>
      </c>
      <c r="J74" s="134">
        <v>2792.9872237687023</v>
      </c>
      <c r="K74" s="134">
        <v>2596.5450033282746</v>
      </c>
      <c r="L74" s="134">
        <v>2727.3412999550642</v>
      </c>
      <c r="M74" s="134">
        <v>2769.2069404231106</v>
      </c>
      <c r="N74" s="134">
        <v>2636.9068872553139</v>
      </c>
      <c r="O74" s="134">
        <v>2674.751568774077</v>
      </c>
      <c r="P74" s="5">
        <f t="shared" si="3"/>
        <v>32536.462809747987</v>
      </c>
      <c r="Q74" s="6"/>
      <c r="R74" s="224"/>
      <c r="S74" s="6"/>
      <c r="Y74" s="267"/>
    </row>
    <row r="75" spans="1:25">
      <c r="A75" s="4">
        <f t="shared" si="0"/>
        <v>64</v>
      </c>
      <c r="B75" s="144">
        <v>8770</v>
      </c>
      <c r="C75" s="6" t="s">
        <v>299</v>
      </c>
      <c r="D75" s="134">
        <v>10915.165756491086</v>
      </c>
      <c r="E75" s="134">
        <v>10822.220824449538</v>
      </c>
      <c r="F75" s="134">
        <v>9535.3790865070205</v>
      </c>
      <c r="G75" s="134">
        <v>9853.198374256217</v>
      </c>
      <c r="H75" s="134">
        <v>8954.3803427323528</v>
      </c>
      <c r="I75" s="134">
        <v>8926.3198619267951</v>
      </c>
      <c r="J75" s="134">
        <v>9478.6244843135373</v>
      </c>
      <c r="K75" s="134">
        <v>8914.8451446611161</v>
      </c>
      <c r="L75" s="134">
        <v>10112.679537847273</v>
      </c>
      <c r="M75" s="134">
        <v>9217.0280774386938</v>
      </c>
      <c r="N75" s="134">
        <v>9267.3884536465703</v>
      </c>
      <c r="O75" s="134">
        <v>8998.329370149424</v>
      </c>
      <c r="P75" s="5">
        <f t="shared" si="3"/>
        <v>114995.55931441962</v>
      </c>
      <c r="Q75" s="6"/>
      <c r="R75" s="224"/>
      <c r="S75" s="6"/>
      <c r="Y75" s="267"/>
    </row>
    <row r="76" spans="1:25">
      <c r="A76" s="4">
        <f t="shared" si="0"/>
        <v>65</v>
      </c>
      <c r="B76" s="144">
        <v>8780</v>
      </c>
      <c r="C76" s="6" t="s">
        <v>300</v>
      </c>
      <c r="D76" s="134">
        <v>73279.531674686557</v>
      </c>
      <c r="E76" s="134">
        <v>70556.308738308391</v>
      </c>
      <c r="F76" s="134">
        <v>75353.3780456979</v>
      </c>
      <c r="G76" s="134">
        <v>72950.144818847926</v>
      </c>
      <c r="H76" s="134">
        <v>75233.23642224753</v>
      </c>
      <c r="I76" s="134">
        <v>71770.847524275989</v>
      </c>
      <c r="J76" s="134">
        <v>77740.347639555461</v>
      </c>
      <c r="K76" s="134">
        <v>71706.800601640382</v>
      </c>
      <c r="L76" s="134">
        <v>72097.261848086273</v>
      </c>
      <c r="M76" s="134">
        <v>77478.310659860741</v>
      </c>
      <c r="N76" s="134">
        <v>72133.517856658989</v>
      </c>
      <c r="O76" s="134">
        <v>74600.30809071679</v>
      </c>
      <c r="P76" s="5">
        <f t="shared" si="3"/>
        <v>884899.99392058305</v>
      </c>
      <c r="Q76" s="6"/>
      <c r="R76" s="224"/>
      <c r="S76" s="6"/>
      <c r="Y76" s="267"/>
    </row>
    <row r="77" spans="1:25">
      <c r="A77" s="4">
        <f t="shared" si="0"/>
        <v>66</v>
      </c>
      <c r="B77" s="144">
        <v>8790</v>
      </c>
      <c r="C77" s="6" t="s">
        <v>301</v>
      </c>
      <c r="D77" s="134">
        <v>68.091758506277671</v>
      </c>
      <c r="E77" s="134">
        <v>67.745613701945004</v>
      </c>
      <c r="F77" s="134">
        <v>56.901363694298112</v>
      </c>
      <c r="G77" s="134">
        <v>59.485723585387952</v>
      </c>
      <c r="H77" s="134">
        <v>52.388841118714033</v>
      </c>
      <c r="I77" s="134">
        <v>52.629742345459711</v>
      </c>
      <c r="J77" s="134">
        <v>55.970856453437534</v>
      </c>
      <c r="K77" s="134">
        <v>52.418982941563229</v>
      </c>
      <c r="L77" s="134">
        <v>61.789200580197956</v>
      </c>
      <c r="M77" s="134">
        <v>53.992191630917901</v>
      </c>
      <c r="N77" s="134">
        <v>55.035448735571798</v>
      </c>
      <c r="O77" s="134">
        <v>52.486072805324334</v>
      </c>
      <c r="P77" s="5">
        <f t="shared" si="3"/>
        <v>688.93579609909511</v>
      </c>
      <c r="Q77" s="6"/>
      <c r="R77" s="224"/>
      <c r="S77" s="6"/>
      <c r="Y77" s="267"/>
    </row>
    <row r="78" spans="1:25">
      <c r="A78" s="4">
        <f t="shared" ref="A78:A109" si="4">A77+1</f>
        <v>67</v>
      </c>
      <c r="B78" s="144">
        <v>8800</v>
      </c>
      <c r="C78" s="6" t="s">
        <v>302</v>
      </c>
      <c r="D78" s="134">
        <v>17178.745988064562</v>
      </c>
      <c r="E78" s="134">
        <v>16512.131358352384</v>
      </c>
      <c r="F78" s="134">
        <v>17737.173145420569</v>
      </c>
      <c r="G78" s="134">
        <v>17104.645054846565</v>
      </c>
      <c r="H78" s="134">
        <v>17569.690571302483</v>
      </c>
      <c r="I78" s="134">
        <v>16864.474734123374</v>
      </c>
      <c r="J78" s="134">
        <v>18269.06663952698</v>
      </c>
      <c r="K78" s="134">
        <v>16857.120752179449</v>
      </c>
      <c r="L78" s="134">
        <v>16932.401864399835</v>
      </c>
      <c r="M78" s="134">
        <v>18232.320948437318</v>
      </c>
      <c r="N78" s="134">
        <v>16884.146566919429</v>
      </c>
      <c r="O78" s="134">
        <v>17536.470390078252</v>
      </c>
      <c r="P78" s="5">
        <f t="shared" si="3"/>
        <v>207678.38801365125</v>
      </c>
      <c r="Q78" s="6"/>
      <c r="R78" s="6"/>
      <c r="S78" s="6"/>
      <c r="Y78" s="267"/>
    </row>
    <row r="79" spans="1:25">
      <c r="A79" s="4">
        <f t="shared" si="4"/>
        <v>68</v>
      </c>
      <c r="B79" s="144">
        <v>8810</v>
      </c>
      <c r="C79" s="6" t="s">
        <v>303</v>
      </c>
      <c r="D79" s="134">
        <v>33472.002826567405</v>
      </c>
      <c r="E79" s="134">
        <v>33477.248996883958</v>
      </c>
      <c r="F79" s="134">
        <v>32290.195922214982</v>
      </c>
      <c r="G79" s="134">
        <v>35342.686576204251</v>
      </c>
      <c r="H79" s="134">
        <v>33307.809598304302</v>
      </c>
      <c r="I79" s="134">
        <v>32730.57384238685</v>
      </c>
      <c r="J79" s="134">
        <v>34885.831034904106</v>
      </c>
      <c r="K79" s="134">
        <v>33864.602026288732</v>
      </c>
      <c r="L79" s="134">
        <v>34943.875593847806</v>
      </c>
      <c r="M79" s="134">
        <v>32390.963267124131</v>
      </c>
      <c r="N79" s="134">
        <v>33900.323463950837</v>
      </c>
      <c r="O79" s="134">
        <v>34060.824948248104</v>
      </c>
      <c r="P79" s="5">
        <f t="shared" si="3"/>
        <v>404666.9380969255</v>
      </c>
      <c r="Q79" s="6"/>
      <c r="R79" s="6"/>
      <c r="S79" s="6"/>
      <c r="Y79" s="267"/>
    </row>
    <row r="80" spans="1:25">
      <c r="A80" s="4">
        <f t="shared" si="4"/>
        <v>69</v>
      </c>
      <c r="B80" s="144">
        <v>8850</v>
      </c>
      <c r="C80" s="6" t="s">
        <v>304</v>
      </c>
      <c r="D80" s="134">
        <v>198.74278419921419</v>
      </c>
      <c r="E80" s="134">
        <v>179.23907623069462</v>
      </c>
      <c r="F80" s="134">
        <v>179.23907623069462</v>
      </c>
      <c r="G80" s="134">
        <v>200.01052521716795</v>
      </c>
      <c r="H80" s="134">
        <v>169.48722224643484</v>
      </c>
      <c r="I80" s="134">
        <v>183.52989198376892</v>
      </c>
      <c r="J80" s="134">
        <v>188.9909302149544</v>
      </c>
      <c r="K80" s="134">
        <v>169.48722224643484</v>
      </c>
      <c r="L80" s="134">
        <v>169.48722224643484</v>
      </c>
      <c r="M80" s="134">
        <v>188.9909302149544</v>
      </c>
      <c r="N80" s="134">
        <v>193.2817459680287</v>
      </c>
      <c r="O80" s="134">
        <v>179.23907623069462</v>
      </c>
      <c r="P80" s="5">
        <f t="shared" si="3"/>
        <v>2199.7257032294769</v>
      </c>
      <c r="Q80" s="6"/>
      <c r="R80" s="6"/>
      <c r="S80" s="6"/>
      <c r="Y80" s="267"/>
    </row>
    <row r="81" spans="1:25">
      <c r="A81" s="4">
        <f t="shared" si="4"/>
        <v>70</v>
      </c>
      <c r="B81" s="144">
        <v>8860</v>
      </c>
      <c r="C81" s="6" t="s">
        <v>305</v>
      </c>
      <c r="D81" s="134">
        <v>1755.0961194147731</v>
      </c>
      <c r="E81" s="134">
        <v>1755.396856844151</v>
      </c>
      <c r="F81" s="134">
        <v>1691.0014547785684</v>
      </c>
      <c r="G81" s="134">
        <v>1857.6340496483786</v>
      </c>
      <c r="H81" s="134">
        <v>1748.1039741817324</v>
      </c>
      <c r="I81" s="134">
        <v>1716.5641362757058</v>
      </c>
      <c r="J81" s="134">
        <v>1834.1524711625373</v>
      </c>
      <c r="K81" s="134">
        <v>1778.5160467275914</v>
      </c>
      <c r="L81" s="134">
        <v>1837.0846610989736</v>
      </c>
      <c r="M81" s="134">
        <v>1695.5877005765842</v>
      </c>
      <c r="N81" s="134">
        <v>1777.9897562261797</v>
      </c>
      <c r="O81" s="134">
        <v>1786.8615103928332</v>
      </c>
      <c r="P81" s="5">
        <f t="shared" si="3"/>
        <v>21233.988737328007</v>
      </c>
      <c r="Q81" s="6"/>
      <c r="R81" s="6"/>
      <c r="S81" s="6"/>
      <c r="Y81" s="267"/>
    </row>
    <row r="82" spans="1:25">
      <c r="A82" s="4">
        <f t="shared" si="4"/>
        <v>71</v>
      </c>
      <c r="B82" s="144">
        <v>8870</v>
      </c>
      <c r="C82" s="6" t="s">
        <v>306</v>
      </c>
      <c r="D82" s="134">
        <v>3540.2843888797988</v>
      </c>
      <c r="E82" s="134">
        <v>3428.7484266563856</v>
      </c>
      <c r="F82" s="134">
        <v>3620.1861432949181</v>
      </c>
      <c r="G82" s="134">
        <v>3517.2063449657667</v>
      </c>
      <c r="H82" s="134">
        <v>3569.5221233963616</v>
      </c>
      <c r="I82" s="134">
        <v>3456.2782890189078</v>
      </c>
      <c r="J82" s="134">
        <v>3693.2487317217597</v>
      </c>
      <c r="K82" s="134">
        <v>3455.7003681689689</v>
      </c>
      <c r="L82" s="134">
        <v>3481.3943302969533</v>
      </c>
      <c r="M82" s="134">
        <v>3705.9880112031228</v>
      </c>
      <c r="N82" s="134">
        <v>3481.0399005566683</v>
      </c>
      <c r="O82" s="134">
        <v>3587.9509693515965</v>
      </c>
      <c r="P82" s="5">
        <f t="shared" si="3"/>
        <v>42537.548027511199</v>
      </c>
      <c r="Q82" s="6"/>
      <c r="R82" s="225"/>
      <c r="S82" s="6"/>
      <c r="Y82" s="267"/>
    </row>
    <row r="83" spans="1:25">
      <c r="A83" s="4">
        <f t="shared" si="4"/>
        <v>72</v>
      </c>
      <c r="B83" s="144">
        <v>8890</v>
      </c>
      <c r="C83" s="226" t="s">
        <v>307</v>
      </c>
      <c r="D83" s="134">
        <v>606.38353898317234</v>
      </c>
      <c r="E83" s="134">
        <v>603.30098514616827</v>
      </c>
      <c r="F83" s="134">
        <v>506.72872968519397</v>
      </c>
      <c r="G83" s="134">
        <v>529.74345762206679</v>
      </c>
      <c r="H83" s="134">
        <v>466.54296463593533</v>
      </c>
      <c r="I83" s="134">
        <v>468.68828356474467</v>
      </c>
      <c r="J83" s="134">
        <v>498.44220153347226</v>
      </c>
      <c r="K83" s="134">
        <v>466.81138926780932</v>
      </c>
      <c r="L83" s="134">
        <v>550.25681434423802</v>
      </c>
      <c r="M83" s="134">
        <v>480.82142327981114</v>
      </c>
      <c r="N83" s="134">
        <v>490.11203273192336</v>
      </c>
      <c r="O83" s="134">
        <v>467.40885054520618</v>
      </c>
      <c r="P83" s="5">
        <f t="shared" si="3"/>
        <v>6135.2406713397404</v>
      </c>
      <c r="Q83" s="6"/>
      <c r="R83" s="6"/>
      <c r="S83" s="6"/>
      <c r="Y83" s="267"/>
    </row>
    <row r="84" spans="1:25">
      <c r="A84" s="4">
        <f t="shared" si="4"/>
        <v>73</v>
      </c>
      <c r="B84" s="144">
        <v>8900</v>
      </c>
      <c r="C84" s="6" t="s">
        <v>308</v>
      </c>
      <c r="D84" s="134">
        <v>961.93016901129215</v>
      </c>
      <c r="E84" s="134">
        <v>957.04019205316422</v>
      </c>
      <c r="F84" s="134">
        <v>803.84380718237605</v>
      </c>
      <c r="G84" s="134">
        <v>840.35297953093368</v>
      </c>
      <c r="H84" s="134">
        <v>740.09554015239951</v>
      </c>
      <c r="I84" s="134">
        <v>743.49874434101116</v>
      </c>
      <c r="J84" s="134">
        <v>790.69856013482433</v>
      </c>
      <c r="K84" s="134">
        <v>740.52135275268597</v>
      </c>
      <c r="L84" s="134">
        <v>872.89412788043512</v>
      </c>
      <c r="M84" s="134">
        <v>762.74602330957066</v>
      </c>
      <c r="N84" s="134">
        <v>777.48408420000032</v>
      </c>
      <c r="O84" s="134">
        <v>741.46912918558166</v>
      </c>
      <c r="P84" s="5">
        <f t="shared" si="3"/>
        <v>9732.5747097342755</v>
      </c>
      <c r="Q84" s="6"/>
      <c r="R84" s="6"/>
      <c r="S84" s="6"/>
      <c r="Y84" s="267"/>
    </row>
    <row r="85" spans="1:25">
      <c r="A85" s="4">
        <f t="shared" si="4"/>
        <v>74</v>
      </c>
      <c r="B85" s="144">
        <v>8910</v>
      </c>
      <c r="C85" s="6" t="s">
        <v>309</v>
      </c>
      <c r="D85" s="134">
        <v>2194.4911668654568</v>
      </c>
      <c r="E85" s="134">
        <v>2187.7445690219511</v>
      </c>
      <c r="F85" s="134">
        <v>1974.7469223402718</v>
      </c>
      <c r="G85" s="134">
        <v>2028.8101945701494</v>
      </c>
      <c r="H85" s="134">
        <v>1872.3167403570633</v>
      </c>
      <c r="I85" s="134">
        <v>1876.3177650563996</v>
      </c>
      <c r="J85" s="134">
        <v>1944.1085121296842</v>
      </c>
      <c r="K85" s="134">
        <v>1873.5787557521091</v>
      </c>
      <c r="L85" s="134">
        <v>2057.689002606026</v>
      </c>
      <c r="M85" s="134">
        <v>1930.2695406310718</v>
      </c>
      <c r="N85" s="134">
        <v>1952.4494988673821</v>
      </c>
      <c r="O85" s="134">
        <v>1902.903770593879</v>
      </c>
      <c r="P85" s="5">
        <f t="shared" si="3"/>
        <v>23795.426438791441</v>
      </c>
      <c r="Q85" s="6"/>
      <c r="R85" s="6"/>
      <c r="S85" s="6"/>
      <c r="Y85" s="267"/>
    </row>
    <row r="86" spans="1:25">
      <c r="A86" s="4">
        <f t="shared" si="4"/>
        <v>75</v>
      </c>
      <c r="B86" s="144">
        <v>8920</v>
      </c>
      <c r="C86" s="6" t="s">
        <v>310</v>
      </c>
      <c r="D86" s="134">
        <v>299.06238509439396</v>
      </c>
      <c r="E86" s="134">
        <v>288.98986351925811</v>
      </c>
      <c r="F86" s="134">
        <v>299.71995737245754</v>
      </c>
      <c r="G86" s="134">
        <v>292.03901542516979</v>
      </c>
      <c r="H86" s="134">
        <v>293.55204705984295</v>
      </c>
      <c r="I86" s="134">
        <v>283.66491169553086</v>
      </c>
      <c r="J86" s="134">
        <v>306.55905777588345</v>
      </c>
      <c r="K86" s="134">
        <v>283.49291132388032</v>
      </c>
      <c r="L86" s="134">
        <v>291.13992913895709</v>
      </c>
      <c r="M86" s="134">
        <v>304.94427296176275</v>
      </c>
      <c r="N86" s="134">
        <v>285.62820436732318</v>
      </c>
      <c r="O86" s="134">
        <v>293.63139766495948</v>
      </c>
      <c r="P86" s="5">
        <f t="shared" si="3"/>
        <v>3522.4239533994196</v>
      </c>
      <c r="Q86" s="6"/>
      <c r="R86" s="6"/>
      <c r="S86" s="6"/>
      <c r="Y86" s="267"/>
    </row>
    <row r="87" spans="1:25">
      <c r="A87" s="4">
        <f t="shared" si="4"/>
        <v>76</v>
      </c>
      <c r="B87" s="144">
        <v>8930</v>
      </c>
      <c r="C87" s="6" t="s">
        <v>311</v>
      </c>
      <c r="D87" s="134">
        <v>8665.7700128797951</v>
      </c>
      <c r="E87" s="134">
        <v>8318.3750505380158</v>
      </c>
      <c r="F87" s="134">
        <v>9008.2123238654112</v>
      </c>
      <c r="G87" s="134">
        <v>8662.0754309739787</v>
      </c>
      <c r="H87" s="134">
        <v>8918.1248741562304</v>
      </c>
      <c r="I87" s="134">
        <v>8560.5645405758241</v>
      </c>
      <c r="J87" s="134">
        <v>9277.3263907535857</v>
      </c>
      <c r="K87" s="134">
        <v>8560.4740612915466</v>
      </c>
      <c r="L87" s="134">
        <v>8564.4967078249974</v>
      </c>
      <c r="M87" s="134">
        <v>9276.4769473899287</v>
      </c>
      <c r="N87" s="134">
        <v>8561.5973134359538</v>
      </c>
      <c r="O87" s="134">
        <v>8918.1666158448625</v>
      </c>
      <c r="P87" s="5">
        <f t="shared" si="3"/>
        <v>105291.66026953013</v>
      </c>
      <c r="Q87" s="6"/>
      <c r="R87" s="6"/>
      <c r="S87" s="6"/>
      <c r="Y87" s="267"/>
    </row>
    <row r="88" spans="1:25">
      <c r="A88" s="4">
        <f t="shared" si="4"/>
        <v>77</v>
      </c>
      <c r="B88" s="144">
        <v>8940</v>
      </c>
      <c r="C88" s="6" t="s">
        <v>312</v>
      </c>
      <c r="D88" s="134">
        <v>6226.0488740354394</v>
      </c>
      <c r="E88" s="134">
        <v>6210.914867044763</v>
      </c>
      <c r="F88" s="134">
        <v>5742.6574770562102</v>
      </c>
      <c r="G88" s="134">
        <v>5854.2415235009494</v>
      </c>
      <c r="H88" s="134">
        <v>5485.0007363785426</v>
      </c>
      <c r="I88" s="134">
        <v>5495.0960815500166</v>
      </c>
      <c r="J88" s="134">
        <v>5639.3150559749147</v>
      </c>
      <c r="K88" s="134">
        <v>5485.9961985711743</v>
      </c>
      <c r="L88" s="134">
        <v>5890.5707153967542</v>
      </c>
      <c r="M88" s="134">
        <v>5666.2554314437475</v>
      </c>
      <c r="N88" s="134">
        <v>5711.2675618629546</v>
      </c>
      <c r="O88" s="134">
        <v>5601.1565258263654</v>
      </c>
      <c r="P88" s="5">
        <f t="shared" si="3"/>
        <v>69008.521048641822</v>
      </c>
      <c r="Q88" s="6"/>
      <c r="R88" s="6"/>
      <c r="S88" s="6"/>
      <c r="Y88" s="267"/>
    </row>
    <row r="89" spans="1:25">
      <c r="A89" s="4">
        <f t="shared" si="4"/>
        <v>78</v>
      </c>
      <c r="B89" s="144">
        <v>9020</v>
      </c>
      <c r="C89" s="6" t="s">
        <v>313</v>
      </c>
      <c r="D89" s="134">
        <v>94391.81071407655</v>
      </c>
      <c r="E89" s="134">
        <v>93514.221580935962</v>
      </c>
      <c r="F89" s="134">
        <v>94731.950261473263</v>
      </c>
      <c r="G89" s="134">
        <v>94174.034502924609</v>
      </c>
      <c r="H89" s="134">
        <v>94424.040671314826</v>
      </c>
      <c r="I89" s="134">
        <v>92363.702687912824</v>
      </c>
      <c r="J89" s="134">
        <v>94551.649285063759</v>
      </c>
      <c r="K89" s="134">
        <v>92225.393540013043</v>
      </c>
      <c r="L89" s="134">
        <v>92415.712541488261</v>
      </c>
      <c r="M89" s="134">
        <v>96577.611049155355</v>
      </c>
      <c r="N89" s="134">
        <v>95089.394780477771</v>
      </c>
      <c r="O89" s="134">
        <v>95555.974324513823</v>
      </c>
      <c r="P89" s="5">
        <f t="shared" ref="P89:P93" si="5">SUM(D89:O89)</f>
        <v>1130015.49593935</v>
      </c>
      <c r="Q89" s="6"/>
      <c r="R89" s="6"/>
      <c r="S89" s="6"/>
      <c r="Y89" s="267"/>
    </row>
    <row r="90" spans="1:25">
      <c r="A90" s="4">
        <f t="shared" si="4"/>
        <v>79</v>
      </c>
      <c r="B90" s="144">
        <v>9030</v>
      </c>
      <c r="C90" s="6" t="s">
        <v>314</v>
      </c>
      <c r="D90" s="134">
        <v>31212.496438074479</v>
      </c>
      <c r="E90" s="134">
        <v>30028.817107578048</v>
      </c>
      <c r="F90" s="134">
        <v>32080.60875815092</v>
      </c>
      <c r="G90" s="134">
        <v>31030.559179991469</v>
      </c>
      <c r="H90" s="134">
        <v>32093.239663517012</v>
      </c>
      <c r="I90" s="134">
        <v>30661.888342089951</v>
      </c>
      <c r="J90" s="134">
        <v>33210.838499564728</v>
      </c>
      <c r="K90" s="134">
        <v>30585.625724885984</v>
      </c>
      <c r="L90" s="134">
        <v>30698.806119064411</v>
      </c>
      <c r="M90" s="134">
        <v>32988.889260120413</v>
      </c>
      <c r="N90" s="134">
        <v>30687.642668019842</v>
      </c>
      <c r="O90" s="134">
        <v>31744.323157592386</v>
      </c>
      <c r="P90" s="5">
        <f t="shared" si="5"/>
        <v>377023.73491864966</v>
      </c>
      <c r="Q90" s="6"/>
      <c r="R90" s="6"/>
      <c r="S90" s="6"/>
      <c r="Y90" s="267"/>
    </row>
    <row r="91" spans="1:25">
      <c r="A91" s="4">
        <f t="shared" si="4"/>
        <v>80</v>
      </c>
      <c r="B91" s="144">
        <v>9040</v>
      </c>
      <c r="C91" s="6" t="s">
        <v>315</v>
      </c>
      <c r="D91" s="116">
        <f>-0.005*SUM(D17,D19,D23,D35,D36,D38)</f>
        <v>21186.127383439885</v>
      </c>
      <c r="E91" s="116">
        <f t="shared" ref="E91:O91" si="6">-0.005*SUM(E17,E19,E23,E35,E36,E38)</f>
        <v>20401.051177681464</v>
      </c>
      <c r="F91" s="116">
        <f t="shared" si="6"/>
        <v>21087.119766173932</v>
      </c>
      <c r="G91" s="116">
        <f t="shared" si="6"/>
        <v>20693.010549829349</v>
      </c>
      <c r="H91" s="116">
        <f t="shared" si="6"/>
        <v>26046.040328151932</v>
      </c>
      <c r="I91" s="116">
        <f t="shared" si="6"/>
        <v>38672.553045638655</v>
      </c>
      <c r="J91" s="116">
        <f t="shared" si="6"/>
        <v>42568.32115217868</v>
      </c>
      <c r="K91" s="116">
        <f t="shared" si="6"/>
        <v>43059.558756837694</v>
      </c>
      <c r="L91" s="116">
        <f t="shared" si="6"/>
        <v>38649.959919875182</v>
      </c>
      <c r="M91" s="116">
        <f t="shared" si="6"/>
        <v>22455.961386114643</v>
      </c>
      <c r="N91" s="116">
        <f t="shared" si="6"/>
        <v>4938.0573762805652</v>
      </c>
      <c r="O91" s="116">
        <f t="shared" si="6"/>
        <v>13668.419573133933</v>
      </c>
      <c r="P91" s="5">
        <f t="shared" si="5"/>
        <v>313426.18041533593</v>
      </c>
      <c r="Q91" s="6"/>
      <c r="R91" s="6"/>
      <c r="S91" s="6"/>
      <c r="Y91" s="267"/>
    </row>
    <row r="92" spans="1:25">
      <c r="A92" s="4">
        <f t="shared" si="4"/>
        <v>81</v>
      </c>
      <c r="B92" s="144">
        <v>9090</v>
      </c>
      <c r="C92" s="6" t="s">
        <v>316</v>
      </c>
      <c r="D92" s="134">
        <v>10215.339350150252</v>
      </c>
      <c r="E92" s="134">
        <v>9886.4097579202789</v>
      </c>
      <c r="F92" s="134">
        <v>10337.145357602538</v>
      </c>
      <c r="G92" s="134">
        <v>10216.969652849475</v>
      </c>
      <c r="H92" s="134">
        <v>10693.835908906985</v>
      </c>
      <c r="I92" s="134">
        <v>9940.7372726146205</v>
      </c>
      <c r="J92" s="134">
        <v>10735.183840760425</v>
      </c>
      <c r="K92" s="134">
        <v>9922.8868685696289</v>
      </c>
      <c r="L92" s="134">
        <v>9945.3520878267755</v>
      </c>
      <c r="M92" s="134">
        <v>10648.396867121815</v>
      </c>
      <c r="N92" s="134">
        <v>10166.762157747067</v>
      </c>
      <c r="O92" s="134">
        <v>10268.917326936953</v>
      </c>
      <c r="P92" s="5">
        <f t="shared" si="5"/>
        <v>122977.93644900681</v>
      </c>
      <c r="Q92" s="6"/>
      <c r="R92" s="225"/>
      <c r="S92" s="6"/>
      <c r="Y92" s="267"/>
    </row>
    <row r="93" spans="1:25">
      <c r="A93" s="4">
        <f t="shared" si="4"/>
        <v>82</v>
      </c>
      <c r="B93" s="144">
        <v>9100</v>
      </c>
      <c r="C93" s="6" t="s">
        <v>317</v>
      </c>
      <c r="D93" s="134">
        <v>8.2086820201159192</v>
      </c>
      <c r="E93" s="134">
        <v>12.629888315251963</v>
      </c>
      <c r="F93" s="134">
        <v>8.7837904743594031</v>
      </c>
      <c r="G93" s="134">
        <v>19.810924097013746</v>
      </c>
      <c r="H93" s="134">
        <v>19.059756159003275</v>
      </c>
      <c r="I93" s="134">
        <v>11.74575177838436</v>
      </c>
      <c r="J93" s="134">
        <v>8.2054167573347652</v>
      </c>
      <c r="K93" s="134">
        <v>27.972780680483876</v>
      </c>
      <c r="L93" s="134">
        <v>10.995414318812838</v>
      </c>
      <c r="M93" s="134">
        <v>18.128699489803793</v>
      </c>
      <c r="N93" s="134">
        <v>14.620983293495767</v>
      </c>
      <c r="O93" s="134">
        <v>18.528660308869494</v>
      </c>
      <c r="P93" s="5">
        <f t="shared" si="5"/>
        <v>178.69074769292916</v>
      </c>
      <c r="Q93" s="6"/>
      <c r="R93" s="225"/>
      <c r="S93" s="6"/>
      <c r="Y93" s="267"/>
    </row>
    <row r="94" spans="1:25">
      <c r="A94" s="4">
        <f t="shared" si="4"/>
        <v>83</v>
      </c>
      <c r="B94" s="144">
        <v>9110</v>
      </c>
      <c r="C94" s="6" t="s">
        <v>318</v>
      </c>
      <c r="D94" s="134">
        <v>19322.031733742351</v>
      </c>
      <c r="E94" s="134">
        <v>19932.253516155692</v>
      </c>
      <c r="F94" s="134">
        <v>19555.151618401498</v>
      </c>
      <c r="G94" s="134">
        <v>22208.354674738126</v>
      </c>
      <c r="H94" s="134">
        <v>23020.403476125051</v>
      </c>
      <c r="I94" s="134">
        <v>19634.471919377105</v>
      </c>
      <c r="J94" s="134">
        <v>20122.572369511734</v>
      </c>
      <c r="K94" s="134">
        <v>23710.431629266539</v>
      </c>
      <c r="L94" s="134">
        <v>19496.966141856672</v>
      </c>
      <c r="M94" s="134">
        <v>22478.699936266825</v>
      </c>
      <c r="N94" s="134">
        <v>20804.878975667754</v>
      </c>
      <c r="O94" s="134">
        <v>21974.827570931982</v>
      </c>
      <c r="P94" s="5">
        <f t="shared" ref="P94:P107" si="7">SUM(D94:O94)</f>
        <v>252261.0435620413</v>
      </c>
      <c r="Q94" s="6"/>
      <c r="R94" s="225"/>
      <c r="S94" s="6"/>
      <c r="Y94" s="267"/>
    </row>
    <row r="95" spans="1:25">
      <c r="A95" s="4">
        <f t="shared" si="4"/>
        <v>84</v>
      </c>
      <c r="B95" s="144">
        <v>9120</v>
      </c>
      <c r="C95" s="6" t="s">
        <v>319</v>
      </c>
      <c r="D95" s="134">
        <v>2509.0348429951446</v>
      </c>
      <c r="E95" s="134">
        <v>3860.4041146250811</v>
      </c>
      <c r="F95" s="134">
        <v>2684.8203280050266</v>
      </c>
      <c r="G95" s="134">
        <v>6055.3324771907382</v>
      </c>
      <c r="H95" s="134">
        <v>5825.7333131848127</v>
      </c>
      <c r="I95" s="134">
        <v>3590.1622692801502</v>
      </c>
      <c r="J95" s="134">
        <v>2508.0367950662107</v>
      </c>
      <c r="K95" s="134">
        <v>8550.0548335047279</v>
      </c>
      <c r="L95" s="134">
        <v>3360.8169461873667</v>
      </c>
      <c r="M95" s="134">
        <v>5541.1500368318175</v>
      </c>
      <c r="N95" s="134">
        <v>4468.994709788105</v>
      </c>
      <c r="O95" s="134">
        <v>5663.4005550525926</v>
      </c>
      <c r="P95" s="5">
        <f t="shared" si="7"/>
        <v>54617.941221711779</v>
      </c>
      <c r="Q95" s="6"/>
      <c r="R95" s="225"/>
      <c r="S95" s="6"/>
      <c r="Y95" s="267"/>
    </row>
    <row r="96" spans="1:25">
      <c r="A96" s="4">
        <f t="shared" si="4"/>
        <v>85</v>
      </c>
      <c r="B96" s="144">
        <v>9130</v>
      </c>
      <c r="C96" s="6" t="s">
        <v>320</v>
      </c>
      <c r="D96" s="134">
        <v>1032.4011090334966</v>
      </c>
      <c r="E96" s="134">
        <v>1588.4536240631717</v>
      </c>
      <c r="F96" s="134">
        <v>1104.7321610246088</v>
      </c>
      <c r="G96" s="134">
        <v>2491.6082701966557</v>
      </c>
      <c r="H96" s="134">
        <v>2397.1343204965715</v>
      </c>
      <c r="I96" s="134">
        <v>1477.2562919016489</v>
      </c>
      <c r="J96" s="134">
        <v>1031.9904388542539</v>
      </c>
      <c r="K96" s="134">
        <v>3518.1201716075866</v>
      </c>
      <c r="L96" s="134">
        <v>1382.8867909863145</v>
      </c>
      <c r="M96" s="134">
        <v>2280.0358708917465</v>
      </c>
      <c r="N96" s="134">
        <v>1838.8724682445545</v>
      </c>
      <c r="O96" s="134">
        <v>2330.33870783457</v>
      </c>
      <c r="P96" s="5">
        <f t="shared" si="7"/>
        <v>22473.830225135178</v>
      </c>
      <c r="Q96" s="6"/>
      <c r="R96" s="225"/>
      <c r="S96" s="6"/>
      <c r="Y96" s="267"/>
    </row>
    <row r="97" spans="1:25">
      <c r="A97" s="4">
        <f t="shared" si="4"/>
        <v>86</v>
      </c>
      <c r="B97" s="144">
        <v>9200</v>
      </c>
      <c r="C97" s="145" t="s">
        <v>353</v>
      </c>
      <c r="D97" s="134">
        <v>11025.913104683399</v>
      </c>
      <c r="E97" s="134">
        <v>10582.597952988071</v>
      </c>
      <c r="F97" s="134">
        <v>11469.228256378728</v>
      </c>
      <c r="G97" s="134">
        <v>11025.913104683399</v>
      </c>
      <c r="H97" s="134">
        <v>11356.690497823902</v>
      </c>
      <c r="I97" s="134">
        <v>10900.075891577715</v>
      </c>
      <c r="J97" s="134">
        <v>11813.305104070092</v>
      </c>
      <c r="K97" s="134">
        <v>10900.075891577715</v>
      </c>
      <c r="L97" s="134">
        <v>10900.075891577715</v>
      </c>
      <c r="M97" s="134">
        <v>11813.305104070092</v>
      </c>
      <c r="N97" s="134">
        <v>10900.075891577715</v>
      </c>
      <c r="O97" s="134">
        <v>11356.690497823902</v>
      </c>
      <c r="P97" s="5">
        <f t="shared" ref="P97" si="8">SUM(D97:O97)</f>
        <v>134043.94718883245</v>
      </c>
      <c r="Q97" s="6"/>
      <c r="R97" s="225"/>
      <c r="S97" s="6"/>
      <c r="Y97" s="267"/>
    </row>
    <row r="98" spans="1:25">
      <c r="A98" s="4">
        <f t="shared" si="4"/>
        <v>87</v>
      </c>
      <c r="B98" s="144">
        <v>9210</v>
      </c>
      <c r="C98" s="6" t="s">
        <v>322</v>
      </c>
      <c r="D98" s="134">
        <v>543.03077634849785</v>
      </c>
      <c r="E98" s="134">
        <v>542.68630036605168</v>
      </c>
      <c r="F98" s="134">
        <v>566.80065023316399</v>
      </c>
      <c r="G98" s="134">
        <v>898.07877716975838</v>
      </c>
      <c r="H98" s="134">
        <v>568.7192730069246</v>
      </c>
      <c r="I98" s="134">
        <v>474.97241968299255</v>
      </c>
      <c r="J98" s="134">
        <v>530.19736756898271</v>
      </c>
      <c r="K98" s="134">
        <v>574.29439170761214</v>
      </c>
      <c r="L98" s="134">
        <v>479.03295254295307</v>
      </c>
      <c r="M98" s="134">
        <v>488.02905202739061</v>
      </c>
      <c r="N98" s="134">
        <v>540.53069432185032</v>
      </c>
      <c r="O98" s="134">
        <v>642.03973246881321</v>
      </c>
      <c r="P98" s="5">
        <f t="shared" si="7"/>
        <v>6848.4123874449897</v>
      </c>
      <c r="Q98" s="6"/>
      <c r="R98" s="225"/>
      <c r="S98" s="6"/>
      <c r="Y98" s="267"/>
    </row>
    <row r="99" spans="1:25">
      <c r="A99" s="4">
        <f t="shared" si="4"/>
        <v>88</v>
      </c>
      <c r="B99" s="144">
        <v>9220</v>
      </c>
      <c r="C99" s="6" t="s">
        <v>323</v>
      </c>
      <c r="D99" s="116">
        <f>-('C.2.2-F 02'!D38+'C.2.2-F 12'!D34+'C.2.2-F 91'!D52)</f>
        <v>1113358.8281978024</v>
      </c>
      <c r="E99" s="116">
        <f>-('C.2.2-F 02'!E38+'C.2.2-F 12'!E34+'C.2.2-F 91'!E52)</f>
        <v>1294539.7924305424</v>
      </c>
      <c r="F99" s="116">
        <f>-('C.2.2-F 02'!F38+'C.2.2-F 12'!F34+'C.2.2-F 91'!F52)</f>
        <v>1028570.0518997214</v>
      </c>
      <c r="G99" s="116">
        <f>-('C.2.2-F 02'!G38+'C.2.2-F 12'!G34+'C.2.2-F 91'!G52)</f>
        <v>1130412.2090201944</v>
      </c>
      <c r="H99" s="116">
        <f>-('C.2.2-F 02'!H38+'C.2.2-F 12'!H34+'C.2.2-F 91'!H52)</f>
        <v>1142711.9478656414</v>
      </c>
      <c r="I99" s="116">
        <f>-('C.2.2-F 02'!I38+'C.2.2-F 12'!I34+'C.2.2-F 91'!I52)</f>
        <v>1147478.1477041971</v>
      </c>
      <c r="J99" s="116">
        <f>-('C.2.2-F 02'!J38+'C.2.2-F 12'!J34+'C.2.2-F 91'!J52)</f>
        <v>1224853.6225956643</v>
      </c>
      <c r="K99" s="116">
        <f>-('C.2.2-F 02'!K38+'C.2.2-F 12'!K34+'C.2.2-F 91'!K52)</f>
        <v>1138170.2775287186</v>
      </c>
      <c r="L99" s="116">
        <f>-('C.2.2-F 02'!L38+'C.2.2-F 12'!L34+'C.2.2-F 91'!L52)</f>
        <v>1099671.9445111228</v>
      </c>
      <c r="M99" s="116">
        <f>-('C.2.2-F 02'!M38+'C.2.2-F 12'!M34+'C.2.2-F 91'!M52)</f>
        <v>1264604.3405168098</v>
      </c>
      <c r="N99" s="116">
        <f>-('C.2.2-F 02'!N38+'C.2.2-F 12'!N34+'C.2.2-F 91'!N52)</f>
        <v>1121617.8220436457</v>
      </c>
      <c r="O99" s="116">
        <f>-('C.2.2-F 02'!O38+'C.2.2-F 12'!O34+'C.2.2-F 91'!O52)</f>
        <v>1319288.3423617939</v>
      </c>
      <c r="P99" s="5">
        <f>SUM(D99:O99)</f>
        <v>14025277.326675855</v>
      </c>
      <c r="Q99" s="79"/>
      <c r="R99" s="225"/>
      <c r="S99" s="6"/>
      <c r="Y99" s="267"/>
    </row>
    <row r="100" spans="1:25">
      <c r="A100" s="4">
        <f t="shared" si="4"/>
        <v>89</v>
      </c>
      <c r="B100" s="144">
        <v>9230</v>
      </c>
      <c r="C100" s="6" t="s">
        <v>324</v>
      </c>
      <c r="D100" s="134">
        <v>15639.701142928685</v>
      </c>
      <c r="E100" s="134">
        <v>15638.689416147887</v>
      </c>
      <c r="F100" s="134">
        <v>15639.251747230424</v>
      </c>
      <c r="G100" s="134">
        <v>15637.908476596547</v>
      </c>
      <c r="H100" s="134">
        <v>15352.499896005793</v>
      </c>
      <c r="I100" s="134">
        <v>15354.214436103812</v>
      </c>
      <c r="J100" s="134">
        <v>15356.149753148897</v>
      </c>
      <c r="K100" s="134">
        <v>15351.039175670536</v>
      </c>
      <c r="L100" s="134">
        <v>15345.571293424473</v>
      </c>
      <c r="M100" s="134">
        <v>15869.712803195502</v>
      </c>
      <c r="N100" s="134">
        <v>15869.701074001288</v>
      </c>
      <c r="O100" s="134">
        <v>15869.809839119567</v>
      </c>
      <c r="P100" s="5">
        <f t="shared" si="7"/>
        <v>186924.24905357341</v>
      </c>
      <c r="Q100" s="6"/>
      <c r="R100" s="225"/>
      <c r="S100" s="6"/>
      <c r="Y100" s="267"/>
    </row>
    <row r="101" spans="1:25">
      <c r="A101" s="4">
        <f t="shared" si="4"/>
        <v>90</v>
      </c>
      <c r="B101" s="144">
        <v>9240</v>
      </c>
      <c r="C101" s="6" t="s">
        <v>325</v>
      </c>
      <c r="D101" s="134">
        <v>679.37987320095499</v>
      </c>
      <c r="E101" s="134">
        <v>679.37987320095499</v>
      </c>
      <c r="F101" s="134">
        <v>679.37987320095499</v>
      </c>
      <c r="G101" s="134">
        <v>684.10435076146246</v>
      </c>
      <c r="H101" s="134">
        <v>679.37987320095499</v>
      </c>
      <c r="I101" s="134">
        <v>679.37987320095499</v>
      </c>
      <c r="J101" s="134">
        <v>679.37987320095499</v>
      </c>
      <c r="K101" s="134">
        <v>679.37987320095499</v>
      </c>
      <c r="L101" s="134">
        <v>679.37987320095499</v>
      </c>
      <c r="M101" s="134">
        <v>679.37987320095499</v>
      </c>
      <c r="N101" s="134">
        <v>679.37987320095499</v>
      </c>
      <c r="O101" s="134">
        <v>679.37987320095499</v>
      </c>
      <c r="P101" s="5">
        <f t="shared" si="7"/>
        <v>8157.2829559719648</v>
      </c>
      <c r="Q101" s="6"/>
      <c r="R101" s="225"/>
      <c r="S101" s="6"/>
      <c r="Y101" s="267"/>
    </row>
    <row r="102" spans="1:25">
      <c r="A102" s="4">
        <f t="shared" si="4"/>
        <v>91</v>
      </c>
      <c r="B102" s="144">
        <v>9250</v>
      </c>
      <c r="C102" s="6" t="s">
        <v>326</v>
      </c>
      <c r="D102" s="134">
        <v>17883.824587989151</v>
      </c>
      <c r="E102" s="134">
        <v>17863.526823443746</v>
      </c>
      <c r="F102" s="134">
        <v>17875.294011001133</v>
      </c>
      <c r="G102" s="134">
        <v>17866.063115161276</v>
      </c>
      <c r="H102" s="134">
        <v>17721.496971626784</v>
      </c>
      <c r="I102" s="134">
        <v>17754.923547787432</v>
      </c>
      <c r="J102" s="134">
        <v>17793.911377920143</v>
      </c>
      <c r="K102" s="134">
        <v>17692.274816028887</v>
      </c>
      <c r="L102" s="134">
        <v>17584.392046939836</v>
      </c>
      <c r="M102" s="134">
        <v>18143.763163513468</v>
      </c>
      <c r="N102" s="134">
        <v>18142.728232620233</v>
      </c>
      <c r="O102" s="134">
        <v>18146.743311854563</v>
      </c>
      <c r="P102" s="5">
        <f t="shared" si="7"/>
        <v>214468.94200588667</v>
      </c>
      <c r="Q102" s="6"/>
      <c r="R102" s="225"/>
      <c r="S102" s="6"/>
      <c r="Y102" s="267"/>
    </row>
    <row r="103" spans="1:25">
      <c r="A103" s="4">
        <f t="shared" si="4"/>
        <v>92</v>
      </c>
      <c r="B103" s="144">
        <v>9260</v>
      </c>
      <c r="C103" s="6" t="s">
        <v>327</v>
      </c>
      <c r="D103" s="134">
        <v>161470.44406617677</v>
      </c>
      <c r="E103" s="134">
        <v>154646.44383749049</v>
      </c>
      <c r="F103" s="134">
        <v>167602.18647844606</v>
      </c>
      <c r="G103" s="134">
        <v>161376.11666293329</v>
      </c>
      <c r="H103" s="134">
        <v>196555.77653682866</v>
      </c>
      <c r="I103" s="134">
        <v>189839.70837787975</v>
      </c>
      <c r="J103" s="134">
        <v>205946.06858549675</v>
      </c>
      <c r="K103" s="134">
        <v>188338.35420527452</v>
      </c>
      <c r="L103" s="134">
        <v>185448.82307264872</v>
      </c>
      <c r="M103" s="134">
        <v>199588.37384353636</v>
      </c>
      <c r="N103" s="134">
        <v>184515.05221163377</v>
      </c>
      <c r="O103" s="134">
        <v>192271.32735049695</v>
      </c>
      <c r="P103" s="5">
        <f t="shared" si="7"/>
        <v>2187598.6752288421</v>
      </c>
      <c r="Q103" s="6"/>
      <c r="R103" s="225"/>
      <c r="S103" s="6"/>
      <c r="Y103" s="267"/>
    </row>
    <row r="104" spans="1:25">
      <c r="A104" s="4">
        <f t="shared" si="4"/>
        <v>93</v>
      </c>
      <c r="B104" s="144">
        <v>9270</v>
      </c>
      <c r="C104" s="6" t="s">
        <v>328</v>
      </c>
      <c r="D104" s="134">
        <v>6.8781297713498875</v>
      </c>
      <c r="E104" s="134">
        <v>6.8781297713498875</v>
      </c>
      <c r="F104" s="134">
        <v>6.8781297713498875</v>
      </c>
      <c r="G104" s="134">
        <v>6.9382007737197551</v>
      </c>
      <c r="H104" s="134">
        <v>6.8781297713498875</v>
      </c>
      <c r="I104" s="134">
        <v>6.8781297713498875</v>
      </c>
      <c r="J104" s="134">
        <v>6.8781297713498875</v>
      </c>
      <c r="K104" s="134">
        <v>6.8781297713498875</v>
      </c>
      <c r="L104" s="134">
        <v>6.8781297713498875</v>
      </c>
      <c r="M104" s="134">
        <v>6.8781297713498875</v>
      </c>
      <c r="N104" s="134">
        <v>6.8781297713498875</v>
      </c>
      <c r="O104" s="134">
        <v>6.8781297713498875</v>
      </c>
      <c r="P104" s="5">
        <f t="shared" si="7"/>
        <v>82.597628258568534</v>
      </c>
      <c r="Q104" s="6"/>
      <c r="R104" s="225"/>
      <c r="S104" s="6"/>
      <c r="Y104" s="267"/>
    </row>
    <row r="105" spans="1:25">
      <c r="A105" s="4">
        <f t="shared" si="4"/>
        <v>94</v>
      </c>
      <c r="B105" s="144">
        <v>9280</v>
      </c>
      <c r="C105" s="6" t="s">
        <v>329</v>
      </c>
      <c r="D105" s="134">
        <v>929.43537915714057</v>
      </c>
      <c r="E105" s="134">
        <v>929.43537915714057</v>
      </c>
      <c r="F105" s="134">
        <v>929.43537915714057</v>
      </c>
      <c r="G105" s="134">
        <v>929.33027619157951</v>
      </c>
      <c r="H105" s="134">
        <v>911.73725018665618</v>
      </c>
      <c r="I105" s="134">
        <v>911.73725018665618</v>
      </c>
      <c r="J105" s="134">
        <v>911.73725018665618</v>
      </c>
      <c r="K105" s="134">
        <v>911.73725018665618</v>
      </c>
      <c r="L105" s="134">
        <v>911.73725018665618</v>
      </c>
      <c r="M105" s="134">
        <v>943.20216374564802</v>
      </c>
      <c r="N105" s="134">
        <v>943.20216374564802</v>
      </c>
      <c r="O105" s="134">
        <v>943.19744424458918</v>
      </c>
      <c r="P105" s="5">
        <f t="shared" si="7"/>
        <v>11105.924436332165</v>
      </c>
      <c r="Q105" s="6"/>
      <c r="R105" s="225"/>
      <c r="S105" s="6"/>
      <c r="Y105" s="267"/>
    </row>
    <row r="106" spans="1:25">
      <c r="A106" s="4">
        <f t="shared" si="4"/>
        <v>95</v>
      </c>
      <c r="B106" s="144">
        <v>9302</v>
      </c>
      <c r="C106" s="6" t="s">
        <v>330</v>
      </c>
      <c r="D106" s="134">
        <v>869.94716653117905</v>
      </c>
      <c r="E106" s="134">
        <v>927.5575217594303</v>
      </c>
      <c r="F106" s="134">
        <v>1261.1585263505492</v>
      </c>
      <c r="G106" s="134">
        <v>6168.3104621632456</v>
      </c>
      <c r="H106" s="134">
        <v>809.18469804998574</v>
      </c>
      <c r="I106" s="134">
        <v>4083.3953419365744</v>
      </c>
      <c r="J106" s="134">
        <v>1065.6613466830836</v>
      </c>
      <c r="K106" s="134">
        <v>6016.8319710824844</v>
      </c>
      <c r="L106" s="134">
        <v>1563.643480575729</v>
      </c>
      <c r="M106" s="134">
        <v>934.92910160829513</v>
      </c>
      <c r="N106" s="134">
        <v>6292.9479262996174</v>
      </c>
      <c r="O106" s="134">
        <v>756.91569130588334</v>
      </c>
      <c r="P106" s="5">
        <f t="shared" si="7"/>
        <v>30750.483234346058</v>
      </c>
      <c r="Q106" s="6"/>
      <c r="R106" s="99"/>
      <c r="S106" s="6"/>
      <c r="Y106" s="267"/>
    </row>
    <row r="107" spans="1:25">
      <c r="A107" s="4">
        <f t="shared" si="4"/>
        <v>96</v>
      </c>
      <c r="B107" s="144">
        <v>9310</v>
      </c>
      <c r="C107" s="145" t="s">
        <v>209</v>
      </c>
      <c r="D107" s="134">
        <v>1024.8668661461077</v>
      </c>
      <c r="E107" s="134">
        <v>1025.0424780817561</v>
      </c>
      <c r="F107" s="134">
        <v>987.43957236102642</v>
      </c>
      <c r="G107" s="134">
        <v>1084.7426336651336</v>
      </c>
      <c r="H107" s="134">
        <v>1020.7838886422805</v>
      </c>
      <c r="I107" s="134">
        <v>1002.3665868911468</v>
      </c>
      <c r="J107" s="134">
        <v>1071.0308537297005</v>
      </c>
      <c r="K107" s="134">
        <v>1038.5426456347327</v>
      </c>
      <c r="L107" s="134">
        <v>1072.7430701022731</v>
      </c>
      <c r="M107" s="134">
        <v>990.11765437966562</v>
      </c>
      <c r="N107" s="134">
        <v>1038.2353247473477</v>
      </c>
      <c r="O107" s="134">
        <v>1043.4158768489779</v>
      </c>
      <c r="P107" s="5">
        <f t="shared" si="7"/>
        <v>12399.327451230149</v>
      </c>
      <c r="Q107" s="6"/>
      <c r="R107" s="99"/>
      <c r="S107" s="6"/>
      <c r="Y107" s="267"/>
    </row>
    <row r="108" spans="1:25">
      <c r="A108" s="4">
        <f t="shared" si="4"/>
        <v>97</v>
      </c>
      <c r="B108" s="144">
        <v>9320</v>
      </c>
      <c r="C108" t="s">
        <v>331</v>
      </c>
      <c r="D108" s="134">
        <v>40.715303594366155</v>
      </c>
      <c r="E108" s="134">
        <v>42.835892323239392</v>
      </c>
      <c r="F108" s="134">
        <v>59.539606618363969</v>
      </c>
      <c r="G108" s="134">
        <v>295.08807773320666</v>
      </c>
      <c r="H108" s="134">
        <v>36.14788171679303</v>
      </c>
      <c r="I108" s="134">
        <v>195.51828080211249</v>
      </c>
      <c r="J108" s="134">
        <v>50.176391769339062</v>
      </c>
      <c r="K108" s="134">
        <v>286.54047393374833</v>
      </c>
      <c r="L108" s="134">
        <v>73.829112206771327</v>
      </c>
      <c r="M108" s="134">
        <v>42.36610035868901</v>
      </c>
      <c r="N108" s="134">
        <v>301.8935363307906</v>
      </c>
      <c r="O108" s="134">
        <v>33.701048568093142</v>
      </c>
      <c r="P108" s="5">
        <f>SUM(D108:O108)</f>
        <v>1458.3517059555129</v>
      </c>
      <c r="Q108" s="6"/>
      <c r="R108" s="6"/>
      <c r="S108" s="6"/>
      <c r="Y108" s="267"/>
    </row>
    <row r="109" spans="1:25" ht="15.75" thickBot="1">
      <c r="A109" s="4">
        <f t="shared" si="4"/>
        <v>98</v>
      </c>
      <c r="B109" s="6"/>
      <c r="C109" s="6" t="s">
        <v>332</v>
      </c>
      <c r="D109" s="250">
        <f t="shared" ref="D109:O109" si="9">SUM(D14:D108)</f>
        <v>-1559863.7220737503</v>
      </c>
      <c r="E109" s="250">
        <f t="shared" si="9"/>
        <v>-1158560.3243546817</v>
      </c>
      <c r="F109" s="230">
        <f t="shared" si="9"/>
        <v>-1411395.2455530555</v>
      </c>
      <c r="G109" s="230">
        <f t="shared" si="9"/>
        <v>-1283478.6332178789</v>
      </c>
      <c r="H109" s="230">
        <f t="shared" si="9"/>
        <v>-1757705.4076617945</v>
      </c>
      <c r="I109" s="230">
        <f t="shared" si="9"/>
        <v>-3126381.0092069698</v>
      </c>
      <c r="J109" s="230">
        <f t="shared" si="9"/>
        <v>-4539061.2146388292</v>
      </c>
      <c r="K109" s="230">
        <f t="shared" si="9"/>
        <v>-5393851.6198320193</v>
      </c>
      <c r="L109" s="230">
        <f t="shared" si="9"/>
        <v>-4954745.1185498852</v>
      </c>
      <c r="M109" s="230">
        <f t="shared" si="9"/>
        <v>-5047312.0040698154</v>
      </c>
      <c r="N109" s="230">
        <f t="shared" si="9"/>
        <v>-3029758.5285394019</v>
      </c>
      <c r="O109" s="230">
        <f t="shared" si="9"/>
        <v>-1768394.0466550612</v>
      </c>
      <c r="P109" s="230">
        <f>SUM(P12:P108)</f>
        <v>-23885863.06483046</v>
      </c>
      <c r="Q109" s="232"/>
      <c r="R109" s="6"/>
      <c r="S109" s="6"/>
      <c r="Y109" s="267"/>
    </row>
    <row r="110" spans="1:25" ht="15.75" thickTop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6"/>
      <c r="Q110" s="6"/>
      <c r="R110" s="6"/>
      <c r="S110" s="6"/>
    </row>
    <row r="111" spans="1:25">
      <c r="A111" s="6"/>
      <c r="B111" s="6"/>
      <c r="C111" s="6" t="s">
        <v>333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6"/>
      <c r="Q111" s="6"/>
      <c r="R111" s="6"/>
      <c r="S111" s="6"/>
    </row>
    <row r="112" spans="1:25">
      <c r="A112" s="6"/>
      <c r="B112" s="6"/>
      <c r="C112" s="194" t="s">
        <v>334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6"/>
      <c r="Q112" s="6"/>
      <c r="R112" s="6"/>
      <c r="S112" s="6"/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45"/>
      <c r="Q113" s="6"/>
      <c r="R113" s="6"/>
      <c r="S113" s="6"/>
    </row>
    <row r="114" spans="1:19">
      <c r="A114" s="6"/>
      <c r="B114" s="6"/>
      <c r="C114" s="6"/>
      <c r="P114" s="145"/>
      <c r="Q114" s="6"/>
      <c r="R114" s="6"/>
      <c r="S114" s="6"/>
    </row>
    <row r="115" spans="1:19">
      <c r="A115" s="6"/>
      <c r="B115" s="6" t="s">
        <v>335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>
      <c r="A116" s="6"/>
      <c r="B116" s="6" t="s">
        <v>337</v>
      </c>
      <c r="C116" s="6"/>
      <c r="D116" s="233"/>
      <c r="E116" s="233"/>
      <c r="F116" s="233"/>
      <c r="G116" s="6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6"/>
      <c r="S116" s="6"/>
    </row>
    <row r="117" spans="1:19">
      <c r="A117" s="6"/>
      <c r="B117" s="6" t="s">
        <v>354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6"/>
      <c r="R117" s="6"/>
      <c r="S117" s="6"/>
    </row>
    <row r="118" spans="1:19">
      <c r="A118" s="6"/>
      <c r="B118" s="6" t="s">
        <v>355</v>
      </c>
      <c r="C118" s="6"/>
      <c r="P118" s="9"/>
      <c r="Q118" s="6"/>
      <c r="R118" s="6"/>
      <c r="S118" s="6"/>
    </row>
    <row r="119" spans="1:19">
      <c r="A119" s="6"/>
      <c r="B119" s="6"/>
      <c r="C119" s="6"/>
      <c r="P119" s="5"/>
      <c r="Q119" s="6"/>
      <c r="R119" s="6"/>
      <c r="S119" s="6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145"/>
      <c r="R120" s="6"/>
      <c r="S120" s="6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195"/>
      <c r="P121" s="5"/>
      <c r="Q121" s="145"/>
      <c r="R121" s="6"/>
      <c r="S121" s="6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95"/>
      <c r="P122" s="39"/>
      <c r="Q122" s="6"/>
      <c r="R122" s="6"/>
      <c r="S122" s="6"/>
    </row>
    <row r="123" spans="1:1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5"/>
      <c r="R123" s="6"/>
      <c r="S123" s="6"/>
    </row>
    <row r="124" spans="1:19">
      <c r="P124" s="216"/>
      <c r="Q124" s="9"/>
    </row>
    <row r="125" spans="1:19">
      <c r="P125" s="268"/>
      <c r="Q125" s="9"/>
    </row>
    <row r="126" spans="1:19">
      <c r="C126" s="26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9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4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zoomScaleNormal="75" workbookViewId="0">
      <pane xSplit="3" ySplit="11" topLeftCell="D12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54.21875" customWidth="1"/>
    <col min="4" max="4" width="14.21875" customWidth="1"/>
    <col min="5" max="5" width="11.88671875" bestFit="1" customWidth="1"/>
    <col min="6" max="6" width="11.109375" customWidth="1"/>
    <col min="7" max="8" width="11.88671875" bestFit="1" customWidth="1"/>
    <col min="9" max="9" width="11.10937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</row>
    <row r="2" spans="1:18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</row>
    <row r="3" spans="1:18" ht="15.75">
      <c r="A3" s="310" t="s">
        <v>338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</row>
    <row r="4" spans="1:18">
      <c r="A4" s="310" t="s">
        <v>395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</row>
    <row r="5" spans="1:18">
      <c r="A5" s="6"/>
      <c r="B5" s="158"/>
      <c r="C5" s="158"/>
      <c r="D5" s="158"/>
      <c r="E5" s="158"/>
      <c r="F5" s="158"/>
      <c r="G5" s="236"/>
      <c r="H5" s="158"/>
      <c r="I5" s="158"/>
      <c r="J5" s="158"/>
      <c r="K5" s="158"/>
      <c r="L5" s="158"/>
      <c r="M5" s="158"/>
      <c r="N5" s="158"/>
      <c r="O5" s="249"/>
      <c r="P5" s="6"/>
      <c r="Q5" s="6"/>
    </row>
    <row r="6" spans="1:18" ht="15.75">
      <c r="A6" s="11" t="str">
        <f>'C.2.1 F'!A6</f>
        <v>Data:________Base Period___X____Forecasted Period</v>
      </c>
      <c r="B6" s="194"/>
      <c r="C6" s="11"/>
      <c r="D6" s="6"/>
      <c r="E6" s="6"/>
      <c r="F6" s="220"/>
      <c r="G6" s="6"/>
      <c r="H6" s="6"/>
      <c r="I6" s="6"/>
      <c r="J6" s="6"/>
      <c r="K6" s="6"/>
      <c r="L6" s="6"/>
      <c r="M6" s="6"/>
      <c r="N6" s="194"/>
      <c r="O6" s="5"/>
      <c r="P6" s="195" t="s">
        <v>235</v>
      </c>
      <c r="Q6" s="6"/>
    </row>
    <row r="7" spans="1:18">
      <c r="A7" s="11" t="str">
        <f>'C.2.1 F'!A7</f>
        <v>Type of Filing:___X____Original________Updated ________Revised</v>
      </c>
      <c r="B7" s="194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194"/>
      <c r="O7" s="5"/>
      <c r="P7" s="196" t="s">
        <v>236</v>
      </c>
      <c r="Q7" s="6"/>
    </row>
    <row r="8" spans="1:18">
      <c r="A8" s="59" t="str">
        <f>'C.2.1 F'!A8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3"/>
      <c r="N8" s="197"/>
      <c r="O8" s="270"/>
      <c r="P8" s="198" t="str">
        <f>C.1!J9</f>
        <v>Witness: Waller, Smith</v>
      </c>
      <c r="Q8" s="6"/>
    </row>
    <row r="9" spans="1:18">
      <c r="A9" s="271" t="s">
        <v>21</v>
      </c>
      <c r="B9" s="272" t="s">
        <v>237</v>
      </c>
      <c r="C9" s="273"/>
      <c r="D9" s="262" t="s">
        <v>20</v>
      </c>
      <c r="E9" s="204" t="s">
        <v>20</v>
      </c>
      <c r="F9" s="204" t="s">
        <v>20</v>
      </c>
      <c r="G9" s="204" t="s">
        <v>20</v>
      </c>
      <c r="H9" s="204" t="s">
        <v>20</v>
      </c>
      <c r="I9" s="204" t="s">
        <v>20</v>
      </c>
      <c r="J9" s="204" t="s">
        <v>20</v>
      </c>
      <c r="K9" s="204" t="s">
        <v>20</v>
      </c>
      <c r="L9" s="204" t="s">
        <v>20</v>
      </c>
      <c r="M9" s="204" t="s">
        <v>20</v>
      </c>
      <c r="N9" s="204" t="s">
        <v>20</v>
      </c>
      <c r="O9" s="204" t="s">
        <v>20</v>
      </c>
      <c r="P9" s="239"/>
      <c r="Q9" s="6"/>
    </row>
    <row r="10" spans="1:18">
      <c r="A10" s="274" t="s">
        <v>24</v>
      </c>
      <c r="B10" s="3" t="s">
        <v>24</v>
      </c>
      <c r="C10" s="275" t="s">
        <v>240</v>
      </c>
      <c r="D10" s="207">
        <f>'C.2.2-F 09'!D10</f>
        <v>42551</v>
      </c>
      <c r="E10" s="207">
        <f>'C.2.2-F 09'!F10</f>
        <v>42613</v>
      </c>
      <c r="F10" s="207">
        <f>'C.2.2-F 09'!F10</f>
        <v>42613</v>
      </c>
      <c r="G10" s="207">
        <f>'C.2.2-F 09'!G10</f>
        <v>42643</v>
      </c>
      <c r="H10" s="207">
        <f>'C.2.2-F 09'!H10</f>
        <v>42674</v>
      </c>
      <c r="I10" s="207">
        <f>'C.2.2-F 09'!I10</f>
        <v>42704</v>
      </c>
      <c r="J10" s="207">
        <f>'C.2.2-F 09'!J10</f>
        <v>42735</v>
      </c>
      <c r="K10" s="207">
        <f>'C.2.2-F 09'!K10</f>
        <v>42766</v>
      </c>
      <c r="L10" s="207">
        <f>'C.2.2-F 09'!L10</f>
        <v>42794</v>
      </c>
      <c r="M10" s="207">
        <f>'C.2.2-F 09'!M10</f>
        <v>42825</v>
      </c>
      <c r="N10" s="207">
        <f>'C.2.2-F 09'!N10</f>
        <v>42855</v>
      </c>
      <c r="O10" s="207">
        <f>'C.2.2-F 09'!O10</f>
        <v>42886</v>
      </c>
      <c r="P10" s="240" t="str">
        <f>'C.2.2 B 09'!P10</f>
        <v>Total</v>
      </c>
      <c r="Q10" s="6"/>
    </row>
    <row r="11" spans="1:18">
      <c r="A11" s="6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6"/>
    </row>
    <row r="12" spans="1:18">
      <c r="A12" s="4">
        <v>1</v>
      </c>
      <c r="B12" s="144">
        <v>4030</v>
      </c>
      <c r="C12" s="6" t="s">
        <v>70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6">
        <f t="shared" ref="P12:P33" si="0">SUM(D12:O12)</f>
        <v>0</v>
      </c>
      <c r="Q12" s="6"/>
    </row>
    <row r="13" spans="1:18">
      <c r="A13" s="4">
        <f>A12+1</f>
        <v>2</v>
      </c>
      <c r="B13" s="144">
        <v>4081</v>
      </c>
      <c r="C13" s="6" t="s">
        <v>245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6">
        <f t="shared" si="0"/>
        <v>0</v>
      </c>
      <c r="Q13" s="6"/>
    </row>
    <row r="14" spans="1:18">
      <c r="A14" s="4">
        <f t="shared" ref="A14:A38" si="1">A13+1</f>
        <v>3</v>
      </c>
      <c r="B14" s="144">
        <v>8560</v>
      </c>
      <c r="C14" s="6" t="s">
        <v>287</v>
      </c>
      <c r="D14" s="214">
        <v>132.16457106038354</v>
      </c>
      <c r="E14" s="214">
        <v>128.57804441938214</v>
      </c>
      <c r="F14" s="214">
        <v>122.57113133721124</v>
      </c>
      <c r="G14" s="214">
        <v>148.16642130940477</v>
      </c>
      <c r="H14" s="214">
        <v>122.70147244400397</v>
      </c>
      <c r="I14" s="214">
        <v>122.27621174934953</v>
      </c>
      <c r="J14" s="214">
        <v>122.33347139157158</v>
      </c>
      <c r="K14" s="214">
        <v>122.66882089441779</v>
      </c>
      <c r="L14" s="214">
        <v>120.45679908069604</v>
      </c>
      <c r="M14" s="214">
        <v>128.61576091915487</v>
      </c>
      <c r="N14" s="214">
        <v>125.86613119083087</v>
      </c>
      <c r="O14" s="214">
        <v>131.17019475910803</v>
      </c>
      <c r="P14" s="6">
        <f t="shared" si="0"/>
        <v>1527.569030555514</v>
      </c>
      <c r="Q14" s="6"/>
      <c r="R14" s="213"/>
    </row>
    <row r="15" spans="1:18">
      <c r="A15" s="4">
        <f t="shared" si="1"/>
        <v>4</v>
      </c>
      <c r="B15" s="144">
        <v>8700</v>
      </c>
      <c r="C15" s="6" t="s">
        <v>292</v>
      </c>
      <c r="D15" s="214">
        <v>7216.8906544269248</v>
      </c>
      <c r="E15" s="214">
        <v>7055.8635746763384</v>
      </c>
      <c r="F15" s="214">
        <v>6750.4674277749673</v>
      </c>
      <c r="G15" s="214">
        <v>8021.6034841347855</v>
      </c>
      <c r="H15" s="214">
        <v>6767.7717112449045</v>
      </c>
      <c r="I15" s="214">
        <v>6716.7369224319154</v>
      </c>
      <c r="J15" s="214">
        <v>6770.8514004229164</v>
      </c>
      <c r="K15" s="214">
        <v>6730.0784682785779</v>
      </c>
      <c r="L15" s="214">
        <v>6615.5659499841831</v>
      </c>
      <c r="M15" s="214">
        <v>7095.454075983901</v>
      </c>
      <c r="N15" s="214">
        <v>6893.9913049190009</v>
      </c>
      <c r="O15" s="214">
        <v>7182.37116115547</v>
      </c>
      <c r="P15" s="6">
        <f t="shared" si="0"/>
        <v>83817.646135433897</v>
      </c>
      <c r="Q15" s="6"/>
      <c r="R15" s="213"/>
    </row>
    <row r="16" spans="1:18">
      <c r="A16" s="4">
        <f t="shared" si="1"/>
        <v>5</v>
      </c>
      <c r="B16" s="144">
        <v>8740</v>
      </c>
      <c r="C16" s="6" t="s">
        <v>296</v>
      </c>
      <c r="D16" s="214">
        <v>9675.9005190454009</v>
      </c>
      <c r="E16" s="214">
        <v>9675.9005190454009</v>
      </c>
      <c r="F16" s="214">
        <v>11379.85411929994</v>
      </c>
      <c r="G16" s="214">
        <v>9686.12424064693</v>
      </c>
      <c r="H16" s="214">
        <v>15469.342759910836</v>
      </c>
      <c r="I16" s="214">
        <v>10016.69123909631</v>
      </c>
      <c r="J16" s="214">
        <v>9675.9005190454009</v>
      </c>
      <c r="K16" s="214">
        <v>9846.2958790708544</v>
      </c>
      <c r="L16" s="214">
        <v>9675.9005190454009</v>
      </c>
      <c r="M16" s="214">
        <v>11919.155433780505</v>
      </c>
      <c r="N16" s="214">
        <v>9965.5726310886748</v>
      </c>
      <c r="O16" s="214">
        <v>9675.9005190454009</v>
      </c>
      <c r="P16" s="6">
        <f t="shared" si="0"/>
        <v>126662.53889812106</v>
      </c>
      <c r="Q16" s="6"/>
    </row>
    <row r="17" spans="1:18">
      <c r="A17" s="4">
        <f t="shared" si="1"/>
        <v>6</v>
      </c>
      <c r="B17" s="144">
        <v>8780</v>
      </c>
      <c r="C17" s="6" t="s">
        <v>300</v>
      </c>
      <c r="D17" s="214">
        <v>-191.26525189209588</v>
      </c>
      <c r="E17" s="214">
        <v>-182.5836009721601</v>
      </c>
      <c r="F17" s="214">
        <v>-199.94690012243532</v>
      </c>
      <c r="G17" s="214">
        <v>-191.26525189209588</v>
      </c>
      <c r="H17" s="214">
        <v>-197.00320944885877</v>
      </c>
      <c r="I17" s="214">
        <v>-188.06110900132489</v>
      </c>
      <c r="J17" s="214">
        <v>-205.94530712610836</v>
      </c>
      <c r="K17" s="214">
        <v>-188.06110900132489</v>
      </c>
      <c r="L17" s="214">
        <v>-188.06110900132489</v>
      </c>
      <c r="M17" s="214">
        <v>-205.94530712610836</v>
      </c>
      <c r="N17" s="214">
        <v>-188.06110900132489</v>
      </c>
      <c r="O17" s="214">
        <v>-197.00320944885877</v>
      </c>
      <c r="P17" s="6">
        <f t="shared" si="0"/>
        <v>-2323.2024740340212</v>
      </c>
      <c r="Q17" s="6"/>
    </row>
    <row r="18" spans="1:18">
      <c r="A18" s="4">
        <f t="shared" si="1"/>
        <v>7</v>
      </c>
      <c r="B18" s="144">
        <v>8800</v>
      </c>
      <c r="C18" s="6" t="s">
        <v>302</v>
      </c>
      <c r="D18" s="214">
        <v>126.84081980758423</v>
      </c>
      <c r="E18" s="214">
        <v>127.45403196283867</v>
      </c>
      <c r="F18" s="214">
        <v>128.51904954129412</v>
      </c>
      <c r="G18" s="214">
        <v>126.50642477748072</v>
      </c>
      <c r="H18" s="214">
        <v>128.00565495706439</v>
      </c>
      <c r="I18" s="214">
        <v>126.77645120510485</v>
      </c>
      <c r="J18" s="214">
        <v>127.27927466961505</v>
      </c>
      <c r="K18" s="214">
        <v>127.52789267664555</v>
      </c>
      <c r="L18" s="214">
        <v>127.46308027125565</v>
      </c>
      <c r="M18" s="214">
        <v>126.75908171286471</v>
      </c>
      <c r="N18" s="214">
        <v>127.59860156496104</v>
      </c>
      <c r="O18" s="214">
        <v>127.33107697061385</v>
      </c>
      <c r="P18" s="6">
        <f t="shared" si="0"/>
        <v>1528.0614401173227</v>
      </c>
      <c r="Q18" s="6"/>
    </row>
    <row r="19" spans="1:18">
      <c r="A19" s="4">
        <f t="shared" si="1"/>
        <v>8</v>
      </c>
      <c r="B19" s="144">
        <v>9010</v>
      </c>
      <c r="C19" s="6" t="s">
        <v>339</v>
      </c>
      <c r="D19" s="214">
        <v>1818.0497803416488</v>
      </c>
      <c r="E19" s="214">
        <v>1818.024815922169</v>
      </c>
      <c r="F19" s="214">
        <v>1822.2808904361641</v>
      </c>
      <c r="G19" s="214">
        <v>1842.9624528821466</v>
      </c>
      <c r="H19" s="214">
        <v>1816.0056321022</v>
      </c>
      <c r="I19" s="214">
        <v>1798.6389711831266</v>
      </c>
      <c r="J19" s="214">
        <v>1806.4707035416932</v>
      </c>
      <c r="K19" s="214">
        <v>1806.890193833412</v>
      </c>
      <c r="L19" s="214">
        <v>1803.8278839385414</v>
      </c>
      <c r="M19" s="214">
        <v>1811.3668513518169</v>
      </c>
      <c r="N19" s="214">
        <v>1815.5866514246984</v>
      </c>
      <c r="O19" s="214">
        <v>1822.557889472728</v>
      </c>
      <c r="P19" s="6">
        <f t="shared" si="0"/>
        <v>21782.66271643035</v>
      </c>
      <c r="Q19" s="6"/>
    </row>
    <row r="20" spans="1:18">
      <c r="A20" s="4">
        <f t="shared" si="1"/>
        <v>9</v>
      </c>
      <c r="B20" s="144">
        <v>9030</v>
      </c>
      <c r="C20" s="6" t="s">
        <v>314</v>
      </c>
      <c r="D20" s="214">
        <v>4211.7229458956299</v>
      </c>
      <c r="E20" s="214">
        <v>4020.5501739151878</v>
      </c>
      <c r="F20" s="214">
        <v>4402.8956586502864</v>
      </c>
      <c r="G20" s="214">
        <v>4211.7229458956299</v>
      </c>
      <c r="H20" s="214">
        <v>4338.0746342724988</v>
      </c>
      <c r="I20" s="214">
        <v>4141.1666791326425</v>
      </c>
      <c r="J20" s="214">
        <v>4534.9825284097951</v>
      </c>
      <c r="K20" s="214">
        <v>4141.1666791326425</v>
      </c>
      <c r="L20" s="214">
        <v>4141.1666791326425</v>
      </c>
      <c r="M20" s="214">
        <v>4534.9825284097951</v>
      </c>
      <c r="N20" s="214">
        <v>4141.1666791326425</v>
      </c>
      <c r="O20" s="214">
        <v>4338.0746342724988</v>
      </c>
      <c r="P20" s="6">
        <f t="shared" si="0"/>
        <v>51157.67276625189</v>
      </c>
      <c r="Q20" s="6"/>
    </row>
    <row r="21" spans="1:18">
      <c r="A21" s="4">
        <f t="shared" si="1"/>
        <v>10</v>
      </c>
      <c r="B21" s="144">
        <v>9100</v>
      </c>
      <c r="C21" s="6" t="s">
        <v>317</v>
      </c>
      <c r="D21" s="214">
        <v>99.49532016433615</v>
      </c>
      <c r="E21" s="214">
        <v>99.977539127534172</v>
      </c>
      <c r="F21" s="214">
        <v>100.82474587741339</v>
      </c>
      <c r="G21" s="214">
        <v>99.217349333420003</v>
      </c>
      <c r="H21" s="214">
        <v>100.42954386998044</v>
      </c>
      <c r="I21" s="214">
        <v>99.43368315400258</v>
      </c>
      <c r="J21" s="214">
        <v>99.796253803023646</v>
      </c>
      <c r="K21" s="214">
        <v>99.915902117200588</v>
      </c>
      <c r="L21" s="214">
        <v>99.978747696364238</v>
      </c>
      <c r="M21" s="214">
        <v>99.374463281329128</v>
      </c>
      <c r="N21" s="214">
        <v>100.09839601054119</v>
      </c>
      <c r="O21" s="214">
        <v>99.857890813357216</v>
      </c>
      <c r="P21" s="6">
        <f t="shared" si="0"/>
        <v>1198.3998352485028</v>
      </c>
      <c r="Q21" s="6"/>
    </row>
    <row r="22" spans="1:18">
      <c r="A22" s="4">
        <f t="shared" si="1"/>
        <v>11</v>
      </c>
      <c r="B22" s="144">
        <v>9120</v>
      </c>
      <c r="C22" s="212" t="s">
        <v>356</v>
      </c>
      <c r="D22" s="214">
        <v>372.2828968525655</v>
      </c>
      <c r="E22" s="214">
        <v>448.60254793405056</v>
      </c>
      <c r="F22" s="214">
        <v>372.2828968525655</v>
      </c>
      <c r="G22" s="214">
        <v>419.17369047702994</v>
      </c>
      <c r="H22" s="214">
        <v>485.23598045316345</v>
      </c>
      <c r="I22" s="214">
        <v>408.91632937167833</v>
      </c>
      <c r="J22" s="214">
        <v>372.2828968525655</v>
      </c>
      <c r="K22" s="214">
        <v>469.53593794497226</v>
      </c>
      <c r="L22" s="214">
        <v>372.2828968525655</v>
      </c>
      <c r="M22" s="214">
        <v>419.38302437713912</v>
      </c>
      <c r="N22" s="214">
        <v>448.60254793405056</v>
      </c>
      <c r="O22" s="214">
        <v>372.2828968525655</v>
      </c>
      <c r="P22" s="6">
        <f t="shared" si="0"/>
        <v>4960.8645427549118</v>
      </c>
      <c r="Q22" s="6"/>
    </row>
    <row r="23" spans="1:18">
      <c r="A23" s="4">
        <f t="shared" si="1"/>
        <v>12</v>
      </c>
      <c r="B23" s="144">
        <v>9200</v>
      </c>
      <c r="C23" s="5" t="s">
        <v>321</v>
      </c>
      <c r="D23" s="214">
        <v>-1563167.9948953441</v>
      </c>
      <c r="E23" s="214">
        <v>-1418855.495537546</v>
      </c>
      <c r="F23" s="214">
        <v>-1502303.3326061424</v>
      </c>
      <c r="G23" s="214">
        <v>-1381389.4047113564</v>
      </c>
      <c r="H23" s="214">
        <v>-1113131.415870429</v>
      </c>
      <c r="I23" s="214">
        <v>-1604202.8337430083</v>
      </c>
      <c r="J23" s="214">
        <v>-1072153.9599500997</v>
      </c>
      <c r="K23" s="214">
        <v>-2153521.2836347488</v>
      </c>
      <c r="L23" s="214">
        <v>-2615834.8709771438</v>
      </c>
      <c r="M23" s="214">
        <v>-1727269.2672888995</v>
      </c>
      <c r="N23" s="214">
        <v>-1578855.6242461004</v>
      </c>
      <c r="O23" s="214">
        <v>-1513394.6791848508</v>
      </c>
      <c r="P23" s="6">
        <f t="shared" si="0"/>
        <v>-19244080.162645668</v>
      </c>
      <c r="Q23" s="6"/>
    </row>
    <row r="24" spans="1:18">
      <c r="A24" s="4">
        <f t="shared" si="1"/>
        <v>13</v>
      </c>
      <c r="B24" s="144">
        <v>9210</v>
      </c>
      <c r="C24" s="5" t="s">
        <v>322</v>
      </c>
      <c r="D24" s="214">
        <v>2086488.3420470534</v>
      </c>
      <c r="E24" s="214">
        <v>2231429.8846325148</v>
      </c>
      <c r="F24" s="214">
        <v>2018341.3572829941</v>
      </c>
      <c r="G24" s="214">
        <v>2105913.7120127808</v>
      </c>
      <c r="H24" s="214">
        <v>2380748.2612314536</v>
      </c>
      <c r="I24" s="214">
        <v>2078660.7962752618</v>
      </c>
      <c r="J24" s="214">
        <v>2124420.4122857205</v>
      </c>
      <c r="K24" s="214">
        <v>2078153.2489235678</v>
      </c>
      <c r="L24" s="214">
        <v>2006137.509979483</v>
      </c>
      <c r="M24" s="214">
        <v>2112071.8700334895</v>
      </c>
      <c r="N24" s="214">
        <v>2132957.8868935467</v>
      </c>
      <c r="O24" s="214">
        <v>2115903.5512137339</v>
      </c>
      <c r="P24" s="6">
        <f t="shared" si="0"/>
        <v>25471226.832811601</v>
      </c>
      <c r="Q24" s="6"/>
    </row>
    <row r="25" spans="1:18">
      <c r="A25" s="4">
        <f t="shared" si="1"/>
        <v>14</v>
      </c>
      <c r="B25" s="144">
        <v>9220</v>
      </c>
      <c r="C25" s="5" t="s">
        <v>323</v>
      </c>
      <c r="D25" s="116">
        <f t="shared" ref="D25:O25" si="2">-(SUM(D12:D24,D26:D33))</f>
        <v>-7486804.9486666713</v>
      </c>
      <c r="E25" s="116">
        <f t="shared" si="2"/>
        <v>-9963320.678666668</v>
      </c>
      <c r="F25" s="116">
        <f t="shared" si="2"/>
        <v>-6079583.1486666678</v>
      </c>
      <c r="G25" s="116">
        <f t="shared" si="2"/>
        <v>-6442296.2500000028</v>
      </c>
      <c r="H25" s="116">
        <f t="shared" si="2"/>
        <v>-8026694.0618209988</v>
      </c>
      <c r="I25" s="116">
        <f t="shared" si="2"/>
        <v>-7554507.1850877581</v>
      </c>
      <c r="J25" s="116">
        <f t="shared" si="2"/>
        <v>-8481619.9679676481</v>
      </c>
      <c r="K25" s="116">
        <f t="shared" si="2"/>
        <v>-7220368.4617544236</v>
      </c>
      <c r="L25" s="116">
        <f t="shared" si="2"/>
        <v>-6483397.5117544243</v>
      </c>
      <c r="M25" s="116">
        <f t="shared" si="2"/>
        <v>-9320613.0846343152</v>
      </c>
      <c r="N25" s="116">
        <f t="shared" si="2"/>
        <v>-7356817.9750877582</v>
      </c>
      <c r="O25" s="116">
        <f t="shared" si="2"/>
        <v>-10168519.701821003</v>
      </c>
      <c r="P25" s="6">
        <f t="shared" si="0"/>
        <v>-94584542.975928336</v>
      </c>
      <c r="Q25" s="6"/>
    </row>
    <row r="26" spans="1:18">
      <c r="A26" s="4">
        <f t="shared" si="1"/>
        <v>15</v>
      </c>
      <c r="B26" s="144">
        <v>9230</v>
      </c>
      <c r="C26" s="5" t="s">
        <v>324</v>
      </c>
      <c r="D26" s="214">
        <v>732163.27547375811</v>
      </c>
      <c r="E26" s="214">
        <v>712664.65549175325</v>
      </c>
      <c r="F26" s="214">
        <v>709032.69995414885</v>
      </c>
      <c r="G26" s="214">
        <v>764731.16092301405</v>
      </c>
      <c r="H26" s="214">
        <v>715272.8963810174</v>
      </c>
      <c r="I26" s="214">
        <v>720222.0182598806</v>
      </c>
      <c r="J26" s="214">
        <v>718597.5701347359</v>
      </c>
      <c r="K26" s="214">
        <v>751307.12012409198</v>
      </c>
      <c r="L26" s="214">
        <v>725693.5811876629</v>
      </c>
      <c r="M26" s="214">
        <v>797086.51095084543</v>
      </c>
      <c r="N26" s="214">
        <v>721253.46122361382</v>
      </c>
      <c r="O26" s="214">
        <v>704910.787809656</v>
      </c>
      <c r="P26" s="6">
        <f t="shared" si="0"/>
        <v>8772935.7379141785</v>
      </c>
      <c r="Q26" s="6"/>
    </row>
    <row r="27" spans="1:18">
      <c r="A27" s="4">
        <f t="shared" si="1"/>
        <v>16</v>
      </c>
      <c r="B27" s="144">
        <v>9240</v>
      </c>
      <c r="C27" s="5" t="s">
        <v>325</v>
      </c>
      <c r="D27" s="214">
        <v>14998.105606115321</v>
      </c>
      <c r="E27" s="214">
        <v>14998.197054553224</v>
      </c>
      <c r="F27" s="214">
        <v>14998.357719603273</v>
      </c>
      <c r="G27" s="214">
        <v>14998.052891476931</v>
      </c>
      <c r="H27" s="214">
        <v>14784.389220745794</v>
      </c>
      <c r="I27" s="214">
        <v>14983.287925004443</v>
      </c>
      <c r="J27" s="214">
        <v>14983.35668322843</v>
      </c>
      <c r="K27" s="214">
        <v>14983.379373442345</v>
      </c>
      <c r="L27" s="214">
        <v>14983.391291534504</v>
      </c>
      <c r="M27" s="214">
        <v>14998.091452836521</v>
      </c>
      <c r="N27" s="214">
        <v>14998.228740090415</v>
      </c>
      <c r="O27" s="214">
        <v>14998.174364339307</v>
      </c>
      <c r="P27" s="6">
        <f t="shared" si="0"/>
        <v>179705.01232297049</v>
      </c>
      <c r="Q27" s="6"/>
    </row>
    <row r="28" spans="1:18">
      <c r="A28" s="4">
        <f t="shared" si="1"/>
        <v>17</v>
      </c>
      <c r="B28" s="144">
        <v>9250</v>
      </c>
      <c r="C28" s="5" t="s">
        <v>326</v>
      </c>
      <c r="D28" s="214">
        <v>1730115.1909082762</v>
      </c>
      <c r="E28" s="214">
        <v>1728508.5105059722</v>
      </c>
      <c r="F28" s="214">
        <v>1731721.8681503912</v>
      </c>
      <c r="G28" s="214">
        <v>1730115.075992306</v>
      </c>
      <c r="H28" s="214">
        <v>1708578.7463751642</v>
      </c>
      <c r="I28" s="214">
        <v>1729320.522555508</v>
      </c>
      <c r="J28" s="214">
        <v>1732860.4464618608</v>
      </c>
      <c r="K28" s="214">
        <v>1729320.522555508</v>
      </c>
      <c r="L28" s="214">
        <v>1729320.522555508</v>
      </c>
      <c r="M28" s="214">
        <v>1734535.6187532174</v>
      </c>
      <c r="N28" s="214">
        <v>1730995.6948468643</v>
      </c>
      <c r="O28" s="214">
        <v>1732764.6658480023</v>
      </c>
      <c r="P28" s="6">
        <f t="shared" si="0"/>
        <v>20748157.385508578</v>
      </c>
      <c r="Q28" s="6"/>
      <c r="R28" s="213"/>
    </row>
    <row r="29" spans="1:18">
      <c r="A29" s="4">
        <f t="shared" si="1"/>
        <v>18</v>
      </c>
      <c r="B29" s="144">
        <v>9260</v>
      </c>
      <c r="C29" s="5" t="s">
        <v>327</v>
      </c>
      <c r="D29" s="214">
        <v>3485879.9343476645</v>
      </c>
      <c r="E29" s="214">
        <v>5928259.6243314957</v>
      </c>
      <c r="F29" s="214">
        <v>2353030.7579612467</v>
      </c>
      <c r="G29" s="214">
        <v>2296595.0180259594</v>
      </c>
      <c r="H29" s="214">
        <v>3453315.8911714414</v>
      </c>
      <c r="I29" s="214">
        <v>3785974.2146605998</v>
      </c>
      <c r="J29" s="214">
        <v>3886432.7232955699</v>
      </c>
      <c r="K29" s="214">
        <v>3896104.3458581162</v>
      </c>
      <c r="L29" s="214">
        <v>3727523.6839183467</v>
      </c>
      <c r="M29" s="214">
        <v>3774699.0737242443</v>
      </c>
      <c r="N29" s="214">
        <v>3525492.6206097817</v>
      </c>
      <c r="O29" s="214">
        <v>6348612.2170442333</v>
      </c>
      <c r="P29" s="6">
        <f t="shared" si="0"/>
        <v>46461920.104948699</v>
      </c>
      <c r="Q29" s="6"/>
    </row>
    <row r="30" spans="1:18">
      <c r="A30" s="4">
        <f t="shared" si="1"/>
        <v>19</v>
      </c>
      <c r="B30" s="144">
        <v>9301</v>
      </c>
      <c r="C30" s="6" t="s">
        <v>340</v>
      </c>
      <c r="D30" s="214">
        <v>7926.284315533243</v>
      </c>
      <c r="E30" s="214">
        <v>3548.7936389221204</v>
      </c>
      <c r="F30" s="214">
        <v>3489.8730052817768</v>
      </c>
      <c r="G30" s="214">
        <v>6268.878131517019</v>
      </c>
      <c r="H30" s="214">
        <v>4444.7359990364439</v>
      </c>
      <c r="I30" s="214">
        <v>4209.3259088353061</v>
      </c>
      <c r="J30" s="214">
        <v>9286.3265618306923</v>
      </c>
      <c r="K30" s="214">
        <v>6155.1780185119169</v>
      </c>
      <c r="L30" s="214">
        <v>6081.6180412482327</v>
      </c>
      <c r="M30" s="214">
        <v>37417.986726004186</v>
      </c>
      <c r="N30" s="214">
        <v>4409.4998617792717</v>
      </c>
      <c r="O30" s="214">
        <v>3431.7515417647919</v>
      </c>
      <c r="P30" s="6">
        <f t="shared" si="0"/>
        <v>96670.251750265015</v>
      </c>
      <c r="Q30" s="6"/>
    </row>
    <row r="31" spans="1:18">
      <c r="A31" s="4">
        <f t="shared" si="1"/>
        <v>20</v>
      </c>
      <c r="B31" s="144">
        <v>9302</v>
      </c>
      <c r="C31" s="6" t="s">
        <v>330</v>
      </c>
      <c r="D31" s="214">
        <v>467404.43847963848</v>
      </c>
      <c r="E31" s="214">
        <v>238435.33769795415</v>
      </c>
      <c r="F31" s="214">
        <v>225788.66482440705</v>
      </c>
      <c r="G31" s="214">
        <v>378833.93787755026</v>
      </c>
      <c r="H31" s="214">
        <v>291416.11199540284</v>
      </c>
      <c r="I31" s="214">
        <v>268744.94624794909</v>
      </c>
      <c r="J31" s="214">
        <v>540582.17082217766</v>
      </c>
      <c r="K31" s="214">
        <v>373503.55196243984</v>
      </c>
      <c r="L31" s="214">
        <v>366998.30544584792</v>
      </c>
      <c r="M31" s="214">
        <v>2049451.1946149117</v>
      </c>
      <c r="N31" s="214">
        <v>278994.80887552002</v>
      </c>
      <c r="O31" s="214">
        <v>233687.61260510801</v>
      </c>
      <c r="P31" s="6">
        <f t="shared" si="0"/>
        <v>5713841.081448907</v>
      </c>
      <c r="Q31" s="6"/>
    </row>
    <row r="32" spans="1:18">
      <c r="A32" s="4">
        <f t="shared" si="1"/>
        <v>21</v>
      </c>
      <c r="B32" s="144">
        <v>9310</v>
      </c>
      <c r="C32" s="6" t="s">
        <v>209</v>
      </c>
      <c r="D32" s="214">
        <v>440989.17574833584</v>
      </c>
      <c r="E32" s="214">
        <v>440763.81134045339</v>
      </c>
      <c r="F32" s="214">
        <v>440738.71351195435</v>
      </c>
      <c r="G32" s="214">
        <v>441295.50500772143</v>
      </c>
      <c r="H32" s="214">
        <v>472809.36389307916</v>
      </c>
      <c r="I32" s="214">
        <v>472415.08858076163</v>
      </c>
      <c r="J32" s="214">
        <v>440956.26265308785</v>
      </c>
      <c r="K32" s="214">
        <v>441146.69953790621</v>
      </c>
      <c r="L32" s="214">
        <v>440844.82376788132</v>
      </c>
      <c r="M32" s="214">
        <v>441580.85524831305</v>
      </c>
      <c r="N32" s="214">
        <v>440968.12986385718</v>
      </c>
      <c r="O32" s="214">
        <v>444791.31283322925</v>
      </c>
      <c r="P32" s="6">
        <f t="shared" si="0"/>
        <v>5359299.7419865811</v>
      </c>
      <c r="Q32" s="6"/>
    </row>
    <row r="33" spans="1:17">
      <c r="A33" s="4">
        <f t="shared" si="1"/>
        <v>22</v>
      </c>
      <c r="B33" s="144">
        <v>9320</v>
      </c>
      <c r="C33" s="6" t="s">
        <v>331</v>
      </c>
      <c r="D33" s="214">
        <v>60546.114379937731</v>
      </c>
      <c r="E33" s="214">
        <v>60374.991864564574</v>
      </c>
      <c r="F33" s="214">
        <v>59864.439843136322</v>
      </c>
      <c r="G33" s="214">
        <v>60570.102091467561</v>
      </c>
      <c r="H33" s="214">
        <v>69424.51724428068</v>
      </c>
      <c r="I33" s="214">
        <v>60937.243038643341</v>
      </c>
      <c r="J33" s="214">
        <v>62350.707278524991</v>
      </c>
      <c r="K33" s="214">
        <v>60059.680370641057</v>
      </c>
      <c r="L33" s="214">
        <v>58880.365097055837</v>
      </c>
      <c r="M33" s="214">
        <v>60112.004506662801</v>
      </c>
      <c r="N33" s="214">
        <v>62172.846584541025</v>
      </c>
      <c r="O33" s="214">
        <v>59261.764691894386</v>
      </c>
      <c r="P33" s="6">
        <f t="shared" si="0"/>
        <v>734554.77699135034</v>
      </c>
      <c r="Q33" s="6"/>
    </row>
    <row r="34" spans="1:17" ht="15.75" thickBot="1">
      <c r="A34" s="4">
        <f t="shared" si="1"/>
        <v>23</v>
      </c>
      <c r="B34" s="6" t="s">
        <v>332</v>
      </c>
      <c r="C34" s="6"/>
      <c r="D34" s="230">
        <f t="shared" ref="D34:P34" si="3">SUM(D12:D33)</f>
        <v>1.1350493878126144E-9</v>
      </c>
      <c r="E34" s="230">
        <f t="shared" si="3"/>
        <v>1.0841176845133305E-9</v>
      </c>
      <c r="F34" s="230">
        <f t="shared" si="3"/>
        <v>8.440110832452774E-10</v>
      </c>
      <c r="G34" s="230">
        <f t="shared" si="3"/>
        <v>-6.6938810050487518E-10</v>
      </c>
      <c r="H34" s="230">
        <f t="shared" si="3"/>
        <v>0</v>
      </c>
      <c r="I34" s="230">
        <f t="shared" si="3"/>
        <v>-2.1827872842550278E-10</v>
      </c>
      <c r="J34" s="230">
        <f t="shared" si="3"/>
        <v>-9.3132257461547852E-10</v>
      </c>
      <c r="K34" s="230">
        <f t="shared" si="3"/>
        <v>6.4028427004814148E-10</v>
      </c>
      <c r="L34" s="230">
        <f t="shared" si="3"/>
        <v>1.0186340659856796E-10</v>
      </c>
      <c r="M34" s="230">
        <f t="shared" si="3"/>
        <v>1.964508555829525E-10</v>
      </c>
      <c r="N34" s="230">
        <f t="shared" si="3"/>
        <v>0</v>
      </c>
      <c r="O34" s="230">
        <f t="shared" si="3"/>
        <v>-1.7680577002465725E-9</v>
      </c>
      <c r="P34" s="230">
        <f t="shared" si="3"/>
        <v>1.9324943423271179E-8</v>
      </c>
      <c r="Q34" s="6"/>
    </row>
    <row r="35" spans="1:17" ht="15.75" thickTop="1">
      <c r="A35" s="4">
        <f t="shared" si="1"/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6"/>
      <c r="Q35" s="6"/>
    </row>
    <row r="36" spans="1:17">
      <c r="A36" s="4">
        <f t="shared" si="1"/>
        <v>25</v>
      </c>
      <c r="B36" s="144">
        <f t="shared" ref="B36:O36" si="4">B25</f>
        <v>9220</v>
      </c>
      <c r="C36" s="6" t="str">
        <f t="shared" si="4"/>
        <v>A&amp;G-Administrative expense transferred-Credit</v>
      </c>
      <c r="D36" s="6">
        <f t="shared" si="4"/>
        <v>-7486804.9486666713</v>
      </c>
      <c r="E36" s="6">
        <f t="shared" si="4"/>
        <v>-9963320.678666668</v>
      </c>
      <c r="F36" s="6">
        <f t="shared" si="4"/>
        <v>-6079583.1486666678</v>
      </c>
      <c r="G36" s="6">
        <f t="shared" si="4"/>
        <v>-6442296.2500000028</v>
      </c>
      <c r="H36" s="6">
        <f t="shared" si="4"/>
        <v>-8026694.0618209988</v>
      </c>
      <c r="I36" s="6">
        <f t="shared" si="4"/>
        <v>-7554507.1850877581</v>
      </c>
      <c r="J36" s="6">
        <f t="shared" si="4"/>
        <v>-8481619.9679676481</v>
      </c>
      <c r="K36" s="6">
        <f t="shared" si="4"/>
        <v>-7220368.4617544236</v>
      </c>
      <c r="L36" s="6">
        <f t="shared" si="4"/>
        <v>-6483397.5117544243</v>
      </c>
      <c r="M36" s="6">
        <f t="shared" si="4"/>
        <v>-9320613.0846343152</v>
      </c>
      <c r="N36" s="6">
        <f t="shared" si="4"/>
        <v>-7356817.9750877582</v>
      </c>
      <c r="O36" s="6">
        <f t="shared" si="4"/>
        <v>-10168519.701821003</v>
      </c>
      <c r="P36" s="6"/>
      <c r="Q36" s="6"/>
    </row>
    <row r="37" spans="1:17">
      <c r="A37" s="4">
        <f t="shared" si="1"/>
        <v>26</v>
      </c>
      <c r="B37" s="6"/>
      <c r="C37" s="6" t="s">
        <v>341</v>
      </c>
      <c r="D37" s="276">
        <v>5.2575879716356848E-2</v>
      </c>
      <c r="E37" s="276">
        <f>D37</f>
        <v>5.2575879716356848E-2</v>
      </c>
      <c r="F37" s="276">
        <f t="shared" ref="F37:O37" si="5">E37</f>
        <v>5.2575879716356848E-2</v>
      </c>
      <c r="G37" s="276">
        <f t="shared" si="5"/>
        <v>5.2575879716356848E-2</v>
      </c>
      <c r="H37" s="276">
        <f t="shared" si="5"/>
        <v>5.2575879716356848E-2</v>
      </c>
      <c r="I37" s="276">
        <f t="shared" si="5"/>
        <v>5.2575879716356848E-2</v>
      </c>
      <c r="J37" s="276">
        <f t="shared" si="5"/>
        <v>5.2575879716356848E-2</v>
      </c>
      <c r="K37" s="276">
        <f t="shared" si="5"/>
        <v>5.2575879716356848E-2</v>
      </c>
      <c r="L37" s="276">
        <f t="shared" si="5"/>
        <v>5.2575879716356848E-2</v>
      </c>
      <c r="M37" s="276">
        <f t="shared" si="5"/>
        <v>5.2575879716356848E-2</v>
      </c>
      <c r="N37" s="276">
        <f t="shared" si="5"/>
        <v>5.2575879716356848E-2</v>
      </c>
      <c r="O37" s="276">
        <f t="shared" si="5"/>
        <v>5.2575879716356848E-2</v>
      </c>
      <c r="P37" s="99"/>
      <c r="Q37" s="6"/>
    </row>
    <row r="38" spans="1:17">
      <c r="A38" s="4">
        <f t="shared" si="1"/>
        <v>27</v>
      </c>
      <c r="B38" s="6"/>
      <c r="C38" s="6" t="s">
        <v>342</v>
      </c>
      <c r="D38" s="6">
        <f t="shared" ref="D38:N38" si="6">ROUND(D36*D37,3)</f>
        <v>-393625.35600000003</v>
      </c>
      <c r="E38" s="6">
        <f t="shared" si="6"/>
        <v>-523830.35</v>
      </c>
      <c r="F38" s="6">
        <f t="shared" si="6"/>
        <v>-319639.43199999997</v>
      </c>
      <c r="G38" s="6">
        <f t="shared" si="6"/>
        <v>-338709.39299999998</v>
      </c>
      <c r="H38" s="6">
        <f t="shared" si="6"/>
        <v>-422010.50199999998</v>
      </c>
      <c r="I38" s="6">
        <f t="shared" si="6"/>
        <v>-397184.86099999998</v>
      </c>
      <c r="J38" s="6">
        <f t="shared" si="6"/>
        <v>-445928.63099999999</v>
      </c>
      <c r="K38" s="6">
        <f t="shared" si="6"/>
        <v>-379617.22399999999</v>
      </c>
      <c r="L38" s="6">
        <f t="shared" si="6"/>
        <v>-340870.32799999998</v>
      </c>
      <c r="M38" s="6">
        <f t="shared" si="6"/>
        <v>-490039.43199999997</v>
      </c>
      <c r="N38" s="6">
        <f t="shared" si="6"/>
        <v>-386791.17700000003</v>
      </c>
      <c r="O38" s="6">
        <f>ROUND(O36*O37,3)</f>
        <v>-534618.86899999995</v>
      </c>
      <c r="P38" s="6">
        <f>SUM(D38:O38)</f>
        <v>-4972865.5549999997</v>
      </c>
      <c r="Q38" s="277"/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A41" s="6"/>
      <c r="B41" s="6" t="s">
        <v>343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90"/>
      <c r="P41" s="253"/>
      <c r="Q41" s="6"/>
    </row>
    <row r="42" spans="1:17">
      <c r="A42" s="6"/>
      <c r="B42" s="19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A43" s="6"/>
      <c r="B43" s="6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9"/>
      <c r="Q43" s="6"/>
    </row>
    <row r="44" spans="1:17">
      <c r="A44" s="6"/>
      <c r="B44" s="6" t="s">
        <v>335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99"/>
      <c r="Q44" s="6"/>
    </row>
    <row r="45" spans="1:17">
      <c r="A45" s="6"/>
      <c r="B45" s="6" t="s">
        <v>337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99"/>
      <c r="Q45" s="6"/>
    </row>
    <row r="46" spans="1:17">
      <c r="A46" s="6"/>
      <c r="B46" s="6"/>
      <c r="C46" s="6"/>
      <c r="D46" s="44"/>
      <c r="E46" s="44"/>
      <c r="F46" s="44"/>
      <c r="G46" s="44"/>
      <c r="H46" s="44"/>
      <c r="I46" s="44"/>
      <c r="J46" s="44"/>
      <c r="K46" s="233"/>
      <c r="L46" s="233"/>
      <c r="M46" s="233"/>
      <c r="N46" s="233"/>
      <c r="O46" s="233"/>
      <c r="P46" s="233"/>
      <c r="Q46" s="6"/>
    </row>
    <row r="47" spans="1:17">
      <c r="A47" s="6"/>
      <c r="B47" s="6"/>
      <c r="C47" s="6"/>
      <c r="D47" s="233"/>
      <c r="E47" s="233"/>
      <c r="F47" s="233"/>
      <c r="G47" s="233"/>
      <c r="H47" s="233"/>
      <c r="I47" s="233"/>
      <c r="J47" s="233"/>
      <c r="K47" s="6"/>
      <c r="L47" s="6"/>
      <c r="M47" s="6"/>
      <c r="N47" s="6"/>
      <c r="O47" s="233"/>
      <c r="P47" s="233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33"/>
      <c r="P48" s="233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33"/>
      <c r="P49" s="233"/>
      <c r="Q49" s="6"/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33"/>
      <c r="P50" s="233"/>
      <c r="Q50" s="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25" footer="0.25"/>
  <pageSetup scale="48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</row>
    <row r="2" spans="1:17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</row>
    <row r="3" spans="1:17" ht="15.75">
      <c r="A3" s="310" t="s">
        <v>345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</row>
    <row r="4" spans="1:17">
      <c r="A4" s="310" t="s">
        <v>395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</row>
    <row r="5" spans="1:17">
      <c r="A5" s="6"/>
      <c r="B5" s="158"/>
      <c r="C5" s="158"/>
      <c r="D5" s="158"/>
      <c r="E5" s="158"/>
      <c r="F5" s="158"/>
      <c r="G5" s="236"/>
      <c r="H5" s="158"/>
      <c r="I5" s="158"/>
      <c r="J5" s="158"/>
      <c r="K5" s="158"/>
      <c r="L5" s="158"/>
      <c r="M5" s="158"/>
      <c r="N5" s="158"/>
      <c r="O5" s="249"/>
      <c r="P5" s="6"/>
      <c r="Q5" s="6"/>
    </row>
    <row r="6" spans="1:17" ht="15.75">
      <c r="A6" s="11" t="str">
        <f>'C.2.1 F'!A6</f>
        <v>Data:________Base Period___X____Forecasted Period</v>
      </c>
      <c r="B6" s="194"/>
      <c r="C6" s="11"/>
      <c r="D6" s="6"/>
      <c r="E6" s="220"/>
      <c r="F6" s="6"/>
      <c r="G6" s="6"/>
      <c r="H6" s="6"/>
      <c r="I6" s="6"/>
      <c r="J6" s="6"/>
      <c r="K6" s="6"/>
      <c r="L6" s="6"/>
      <c r="M6" s="6"/>
      <c r="N6" s="194"/>
      <c r="O6" s="5"/>
      <c r="P6" s="195" t="s">
        <v>235</v>
      </c>
      <c r="Q6" s="6"/>
    </row>
    <row r="7" spans="1:17">
      <c r="A7" s="11" t="str">
        <f>'C.2.1 F'!A7</f>
        <v>Type of Filing:___X____Original________Updated ________Revised</v>
      </c>
      <c r="B7" s="194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194"/>
      <c r="O7" s="5"/>
      <c r="P7" s="196" t="s">
        <v>236</v>
      </c>
      <c r="Q7" s="6"/>
    </row>
    <row r="8" spans="1:17">
      <c r="A8" s="59" t="str">
        <f>'C.2.1 F'!A8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3"/>
      <c r="N8" s="197"/>
      <c r="O8" s="270"/>
      <c r="P8" s="198" t="str">
        <f>C.1!J9</f>
        <v>Witness: Waller, Smith</v>
      </c>
      <c r="Q8" s="6"/>
    </row>
    <row r="9" spans="1:17">
      <c r="A9" s="271" t="s">
        <v>21</v>
      </c>
      <c r="B9" s="272" t="s">
        <v>237</v>
      </c>
      <c r="C9" s="273"/>
      <c r="D9" s="262" t="s">
        <v>20</v>
      </c>
      <c r="E9" s="204" t="s">
        <v>20</v>
      </c>
      <c r="F9" s="204" t="s">
        <v>20</v>
      </c>
      <c r="G9" s="204" t="s">
        <v>20</v>
      </c>
      <c r="H9" s="204" t="s">
        <v>20</v>
      </c>
      <c r="I9" s="204" t="s">
        <v>20</v>
      </c>
      <c r="J9" s="204" t="s">
        <v>20</v>
      </c>
      <c r="K9" s="204" t="s">
        <v>20</v>
      </c>
      <c r="L9" s="204" t="s">
        <v>20</v>
      </c>
      <c r="M9" s="204" t="s">
        <v>20</v>
      </c>
      <c r="N9" s="204" t="s">
        <v>20</v>
      </c>
      <c r="O9" s="204" t="s">
        <v>20</v>
      </c>
      <c r="P9" s="239"/>
      <c r="Q9" s="6"/>
    </row>
    <row r="10" spans="1:17">
      <c r="A10" s="274" t="s">
        <v>24</v>
      </c>
      <c r="B10" s="3" t="s">
        <v>24</v>
      </c>
      <c r="C10" s="275" t="s">
        <v>240</v>
      </c>
      <c r="D10" s="207">
        <f>'C.2.2-F 09'!D10</f>
        <v>42551</v>
      </c>
      <c r="E10" s="207">
        <f>'C.2.2-F 09'!F10</f>
        <v>42613</v>
      </c>
      <c r="F10" s="207">
        <f>'C.2.2-F 09'!F10</f>
        <v>42613</v>
      </c>
      <c r="G10" s="207">
        <f>'C.2.2-F 09'!G10</f>
        <v>42643</v>
      </c>
      <c r="H10" s="207">
        <f>'C.2.2-F 09'!H10</f>
        <v>42674</v>
      </c>
      <c r="I10" s="207">
        <f>'C.2.2-F 09'!I10</f>
        <v>42704</v>
      </c>
      <c r="J10" s="207">
        <f>'C.2.2-F 09'!J10</f>
        <v>42735</v>
      </c>
      <c r="K10" s="207">
        <f>'C.2.2-F 09'!K10</f>
        <v>42766</v>
      </c>
      <c r="L10" s="207">
        <f>'C.2.2-F 09'!L10</f>
        <v>42794</v>
      </c>
      <c r="M10" s="207">
        <f>'C.2.2-F 09'!M10</f>
        <v>42825</v>
      </c>
      <c r="N10" s="207">
        <f>'C.2.2-F 09'!N10</f>
        <v>42855</v>
      </c>
      <c r="O10" s="207">
        <f>'C.2.2-F 09'!O10</f>
        <v>42886</v>
      </c>
      <c r="P10" s="240" t="str">
        <f>'C.2.2 B 09'!P10</f>
        <v>Total</v>
      </c>
      <c r="Q10" s="210"/>
    </row>
    <row r="11" spans="1:17">
      <c r="A11" s="194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</row>
    <row r="12" spans="1:17">
      <c r="A12" s="4">
        <v>1</v>
      </c>
      <c r="B12" s="144">
        <v>4030</v>
      </c>
      <c r="C12" s="6" t="s">
        <v>70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6">
        <f t="shared" ref="P12:P28" si="0">SUM(D12:O12)</f>
        <v>0</v>
      </c>
      <c r="Q12" s="6"/>
    </row>
    <row r="13" spans="1:17">
      <c r="A13" s="4">
        <f>A12+1</f>
        <v>2</v>
      </c>
      <c r="B13" s="144">
        <v>4081</v>
      </c>
      <c r="C13" s="6" t="s">
        <v>245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6">
        <f t="shared" si="0"/>
        <v>0</v>
      </c>
      <c r="Q13" s="6"/>
    </row>
    <row r="14" spans="1:17">
      <c r="A14" s="4">
        <f t="shared" ref="A14:A34" si="1">A13+1</f>
        <v>3</v>
      </c>
      <c r="B14" s="144">
        <v>8700</v>
      </c>
      <c r="C14" s="6" t="s">
        <v>292</v>
      </c>
      <c r="D14" s="116">
        <v>10.078541223589822</v>
      </c>
      <c r="E14" s="116">
        <v>12.639057305299062</v>
      </c>
      <c r="F14" s="116">
        <v>12.476431448160278</v>
      </c>
      <c r="G14" s="116">
        <v>11.318983968386325</v>
      </c>
      <c r="H14" s="116">
        <v>11.343658236366004</v>
      </c>
      <c r="I14" s="116">
        <v>10.761569823572707</v>
      </c>
      <c r="J14" s="116">
        <v>12.461851198899561</v>
      </c>
      <c r="K14" s="116">
        <v>12.307076245208858</v>
      </c>
      <c r="L14" s="116">
        <v>9.3742030285335787</v>
      </c>
      <c r="M14" s="116">
        <v>9.7342230295097796</v>
      </c>
      <c r="N14" s="116">
        <v>12.327264282646775</v>
      </c>
      <c r="O14" s="116">
        <v>12.425961354565484</v>
      </c>
      <c r="P14" s="6">
        <f t="shared" si="0"/>
        <v>137.24882114473823</v>
      </c>
      <c r="Q14" s="6"/>
    </row>
    <row r="15" spans="1:17">
      <c r="A15" s="4">
        <f t="shared" si="1"/>
        <v>4</v>
      </c>
      <c r="B15" s="144">
        <v>8740</v>
      </c>
      <c r="C15" s="6" t="s">
        <v>296</v>
      </c>
      <c r="D15" s="116">
        <v>1944.2721978116338</v>
      </c>
      <c r="E15" s="116">
        <v>1944.2721978116338</v>
      </c>
      <c r="F15" s="116">
        <v>1944.2721978116338</v>
      </c>
      <c r="G15" s="116">
        <v>1944.2721978116338</v>
      </c>
      <c r="H15" s="116">
        <v>1944.2721978116338</v>
      </c>
      <c r="I15" s="116">
        <v>1944.2721978116338</v>
      </c>
      <c r="J15" s="116">
        <v>1944.2721978116338</v>
      </c>
      <c r="K15" s="116">
        <v>1944.2721978116338</v>
      </c>
      <c r="L15" s="116">
        <v>1944.2721978116338</v>
      </c>
      <c r="M15" s="116">
        <v>1944.2721978116338</v>
      </c>
      <c r="N15" s="116">
        <v>1944.2721978116338</v>
      </c>
      <c r="O15" s="116">
        <v>1944.2721978116338</v>
      </c>
      <c r="P15" s="6">
        <f t="shared" si="0"/>
        <v>23331.266373739607</v>
      </c>
      <c r="Q15" s="6"/>
    </row>
    <row r="16" spans="1:17">
      <c r="A16" s="4">
        <f t="shared" si="1"/>
        <v>5</v>
      </c>
      <c r="B16" s="144">
        <v>8800</v>
      </c>
      <c r="C16" s="6" t="s">
        <v>302</v>
      </c>
      <c r="D16" s="116">
        <v>7.6288215222652864</v>
      </c>
      <c r="E16" s="116">
        <v>24.160056704154766</v>
      </c>
      <c r="F16" s="116">
        <v>1.4327124132995814</v>
      </c>
      <c r="G16" s="116">
        <v>2.2865613049400753</v>
      </c>
      <c r="H16" s="116">
        <v>8.2701220092074461</v>
      </c>
      <c r="I16" s="116">
        <v>10.752357998372652</v>
      </c>
      <c r="J16" s="116">
        <v>7.6915742923715502</v>
      </c>
      <c r="K16" s="116">
        <v>6.5933227042125786</v>
      </c>
      <c r="L16" s="116">
        <v>6.0170460944030433</v>
      </c>
      <c r="M16" s="116">
        <v>6.4518673406159746</v>
      </c>
      <c r="N16" s="116">
        <v>7.2179779252344831</v>
      </c>
      <c r="O16" s="116">
        <v>18.234199252448366</v>
      </c>
      <c r="P16" s="6">
        <f t="shared" si="0"/>
        <v>106.7366195615258</v>
      </c>
      <c r="Q16" s="6"/>
    </row>
    <row r="17" spans="1:17">
      <c r="A17" s="4">
        <f t="shared" si="1"/>
        <v>6</v>
      </c>
      <c r="B17" s="144">
        <v>9010</v>
      </c>
      <c r="C17" s="6" t="s">
        <v>339</v>
      </c>
      <c r="D17" s="116">
        <v>490956.6239141578</v>
      </c>
      <c r="E17" s="116">
        <v>476661.44494132552</v>
      </c>
      <c r="F17" s="116">
        <v>517559.88146398455</v>
      </c>
      <c r="G17" s="116">
        <v>494850.1140261789</v>
      </c>
      <c r="H17" s="116">
        <v>506934.78708737792</v>
      </c>
      <c r="I17" s="116">
        <v>484867.78003578522</v>
      </c>
      <c r="J17" s="116">
        <v>530713.09422428114</v>
      </c>
      <c r="K17" s="116">
        <v>489115.11696146271</v>
      </c>
      <c r="L17" s="116">
        <v>481950.12616370583</v>
      </c>
      <c r="M17" s="116">
        <v>524369.63166709163</v>
      </c>
      <c r="N17" s="116">
        <v>487785.41953072074</v>
      </c>
      <c r="O17" s="116">
        <v>509311.22903028695</v>
      </c>
      <c r="P17" s="6">
        <f t="shared" si="0"/>
        <v>5995075.2490463592</v>
      </c>
      <c r="Q17" s="6"/>
    </row>
    <row r="18" spans="1:17">
      <c r="A18" s="4">
        <f t="shared" si="1"/>
        <v>7</v>
      </c>
      <c r="B18" s="144">
        <v>9020</v>
      </c>
      <c r="C18" s="6" t="s">
        <v>313</v>
      </c>
      <c r="D18" s="116">
        <v>58.900341141797085</v>
      </c>
      <c r="E18" s="116">
        <v>73.864339141699475</v>
      </c>
      <c r="F18" s="116">
        <v>72.913931909993011</v>
      </c>
      <c r="G18" s="116">
        <v>66.149654233296019</v>
      </c>
      <c r="H18" s="116">
        <v>66.293853951210082</v>
      </c>
      <c r="I18" s="116">
        <v>62.892051514964223</v>
      </c>
      <c r="J18" s="116">
        <v>72.828722985771051</v>
      </c>
      <c r="K18" s="116">
        <v>71.924197482491806</v>
      </c>
      <c r="L18" s="116">
        <v>54.784094648613255</v>
      </c>
      <c r="M18" s="116">
        <v>56.888099623632378</v>
      </c>
      <c r="N18" s="116">
        <v>72.042179069876056</v>
      </c>
      <c r="O18" s="116">
        <v>72.618977941532378</v>
      </c>
      <c r="P18" s="6">
        <f t="shared" si="0"/>
        <v>802.1004436448768</v>
      </c>
      <c r="Q18" s="6"/>
    </row>
    <row r="19" spans="1:17">
      <c r="A19" s="4">
        <f t="shared" si="1"/>
        <v>8</v>
      </c>
      <c r="B19" s="144">
        <v>9030</v>
      </c>
      <c r="C19" s="6" t="s">
        <v>314</v>
      </c>
      <c r="D19" s="116">
        <v>1989556.6772795499</v>
      </c>
      <c r="E19" s="116">
        <v>1956432.8070409035</v>
      </c>
      <c r="F19" s="116">
        <v>2077808.3643239501</v>
      </c>
      <c r="G19" s="116">
        <v>1991861.1490554838</v>
      </c>
      <c r="H19" s="116">
        <v>2100528.6637602998</v>
      </c>
      <c r="I19" s="116">
        <v>1961864.9376536708</v>
      </c>
      <c r="J19" s="116">
        <v>2140416.1289643305</v>
      </c>
      <c r="K19" s="116">
        <v>2011852.6767204395</v>
      </c>
      <c r="L19" s="116">
        <v>1959706.4258027505</v>
      </c>
      <c r="M19" s="116">
        <v>2138458.0819156761</v>
      </c>
      <c r="N19" s="116">
        <v>2012051.9514232301</v>
      </c>
      <c r="O19" s="116">
        <v>2051187.4714142326</v>
      </c>
      <c r="P19" s="6">
        <f t="shared" si="0"/>
        <v>24391725.335354522</v>
      </c>
      <c r="Q19" s="6"/>
    </row>
    <row r="20" spans="1:17">
      <c r="A20" s="4">
        <f t="shared" si="1"/>
        <v>9</v>
      </c>
      <c r="B20" s="144">
        <v>9200</v>
      </c>
      <c r="C20" s="6" t="s">
        <v>321</v>
      </c>
      <c r="D20" s="116">
        <v>364910.68369002739</v>
      </c>
      <c r="E20" s="116">
        <v>349070.34339133336</v>
      </c>
      <c r="F20" s="116">
        <v>380938.31919138582</v>
      </c>
      <c r="G20" s="116">
        <v>365099.6334640893</v>
      </c>
      <c r="H20" s="116">
        <v>376047.30045765842</v>
      </c>
      <c r="I20" s="116">
        <v>359554.60745888902</v>
      </c>
      <c r="J20" s="116">
        <v>392555.28579359315</v>
      </c>
      <c r="K20" s="116">
        <v>359531.99279062037</v>
      </c>
      <c r="L20" s="116">
        <v>359532.12156484625</v>
      </c>
      <c r="M20" s="116">
        <v>392557.47060495184</v>
      </c>
      <c r="N20" s="116">
        <v>359539.00402515958</v>
      </c>
      <c r="O20" s="116">
        <v>376041.06708905095</v>
      </c>
      <c r="P20" s="6">
        <f t="shared" si="0"/>
        <v>4435377.8295216048</v>
      </c>
      <c r="Q20" s="6"/>
    </row>
    <row r="21" spans="1:17">
      <c r="A21" s="4">
        <f t="shared" si="1"/>
        <v>10</v>
      </c>
      <c r="B21" s="144">
        <v>9210</v>
      </c>
      <c r="C21" s="6" t="s">
        <v>322</v>
      </c>
      <c r="D21" s="116">
        <v>225749.76552578231</v>
      </c>
      <c r="E21" s="116">
        <v>228798.80856100851</v>
      </c>
      <c r="F21" s="116">
        <v>228537.9235745339</v>
      </c>
      <c r="G21" s="116">
        <v>208903.0450778958</v>
      </c>
      <c r="H21" s="116">
        <v>218204.73640235869</v>
      </c>
      <c r="I21" s="116">
        <v>219028.16632233048</v>
      </c>
      <c r="J21" s="116">
        <v>274115.33519323886</v>
      </c>
      <c r="K21" s="116">
        <v>216051.37562745909</v>
      </c>
      <c r="L21" s="116">
        <v>208814.04274894169</v>
      </c>
      <c r="M21" s="116">
        <v>222686.82707046057</v>
      </c>
      <c r="N21" s="116">
        <v>218608.72820242791</v>
      </c>
      <c r="O21" s="116">
        <v>221347.42718565563</v>
      </c>
      <c r="P21" s="6">
        <f t="shared" si="0"/>
        <v>2690846.181492093</v>
      </c>
      <c r="Q21" s="6"/>
    </row>
    <row r="22" spans="1:17">
      <c r="A22" s="4">
        <f t="shared" si="1"/>
        <v>11</v>
      </c>
      <c r="B22" s="144">
        <v>9220</v>
      </c>
      <c r="C22" s="6" t="s">
        <v>323</v>
      </c>
      <c r="D22" s="116">
        <f t="shared" ref="D22:O22" si="2">-(SUM(D12:D21)+SUM(D23:D28))</f>
        <v>-4239140.2299999995</v>
      </c>
      <c r="E22" s="116">
        <f t="shared" si="2"/>
        <v>-4224786.16</v>
      </c>
      <c r="F22" s="116">
        <f t="shared" si="2"/>
        <v>-4389294.83</v>
      </c>
      <c r="G22" s="116">
        <f t="shared" si="2"/>
        <v>-4200956.63</v>
      </c>
      <c r="H22" s="116">
        <f t="shared" si="2"/>
        <v>-4458144.8132436816</v>
      </c>
      <c r="I22" s="116">
        <f t="shared" si="2"/>
        <v>-4260830.5182641707</v>
      </c>
      <c r="J22" s="116">
        <f t="shared" si="2"/>
        <v>-4645505.6441576201</v>
      </c>
      <c r="K22" s="116">
        <f t="shared" si="2"/>
        <v>-4272414.5782641713</v>
      </c>
      <c r="L22" s="116">
        <f t="shared" si="2"/>
        <v>-4202860.1482641716</v>
      </c>
      <c r="M22" s="116">
        <f t="shared" si="2"/>
        <v>-4573649.694157619</v>
      </c>
      <c r="N22" s="116">
        <f t="shared" si="2"/>
        <v>-4282075.9882641714</v>
      </c>
      <c r="O22" s="116">
        <f t="shared" si="2"/>
        <v>-4460128.1232436821</v>
      </c>
      <c r="P22" s="6">
        <f t="shared" si="0"/>
        <v>-52209787.357859291</v>
      </c>
      <c r="Q22" s="6"/>
    </row>
    <row r="23" spans="1:17">
      <c r="A23" s="4">
        <f t="shared" si="1"/>
        <v>12</v>
      </c>
      <c r="B23" s="144">
        <v>9230</v>
      </c>
      <c r="C23" s="6" t="s">
        <v>324</v>
      </c>
      <c r="D23" s="116">
        <v>22709.364056460839</v>
      </c>
      <c r="E23" s="116">
        <v>20142.726006908637</v>
      </c>
      <c r="F23" s="116">
        <v>22899.10524111654</v>
      </c>
      <c r="G23" s="116">
        <v>17694.378655961431</v>
      </c>
      <c r="H23" s="116">
        <v>18405.812904484945</v>
      </c>
      <c r="I23" s="116">
        <v>17979.433014054684</v>
      </c>
      <c r="J23" s="116">
        <v>27198.700198579809</v>
      </c>
      <c r="K23" s="116">
        <v>17905.950000505873</v>
      </c>
      <c r="L23" s="116">
        <v>17884.130417478467</v>
      </c>
      <c r="M23" s="116">
        <v>19912.303867671537</v>
      </c>
      <c r="N23" s="116">
        <v>17332.74154463274</v>
      </c>
      <c r="O23" s="116">
        <v>16911.732424960977</v>
      </c>
      <c r="P23" s="6">
        <f t="shared" si="0"/>
        <v>236976.37833281647</v>
      </c>
      <c r="Q23" s="6"/>
    </row>
    <row r="24" spans="1:17">
      <c r="A24" s="4">
        <f t="shared" si="1"/>
        <v>13</v>
      </c>
      <c r="B24" s="144">
        <v>9240</v>
      </c>
      <c r="C24" s="6" t="s">
        <v>325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6">
        <f t="shared" si="0"/>
        <v>0</v>
      </c>
      <c r="Q24" s="6"/>
    </row>
    <row r="25" spans="1:17">
      <c r="A25" s="4">
        <f t="shared" si="1"/>
        <v>14</v>
      </c>
      <c r="B25" s="144">
        <v>9250</v>
      </c>
      <c r="C25" t="s">
        <v>326</v>
      </c>
      <c r="D25" s="116">
        <v>17.72744462442283</v>
      </c>
      <c r="E25" s="116">
        <v>16.128740866532681</v>
      </c>
      <c r="F25" s="116">
        <v>17.72744462442283</v>
      </c>
      <c r="G25" s="116">
        <v>16.128740866532681</v>
      </c>
      <c r="H25" s="116">
        <v>16.128740866532681</v>
      </c>
      <c r="I25" s="116">
        <v>16.128740866532681</v>
      </c>
      <c r="J25" s="116">
        <v>24.99427988755988</v>
      </c>
      <c r="K25" s="116">
        <v>16.128740866532681</v>
      </c>
      <c r="L25" s="116">
        <v>16.128740866532681</v>
      </c>
      <c r="M25" s="116">
        <v>17.72744462442283</v>
      </c>
      <c r="N25" s="116">
        <v>16.128740866532681</v>
      </c>
      <c r="O25" s="116">
        <v>16.128740866532681</v>
      </c>
      <c r="P25" s="6">
        <f t="shared" si="0"/>
        <v>207.20654069308978</v>
      </c>
      <c r="Q25" s="6"/>
    </row>
    <row r="26" spans="1:17">
      <c r="A26" s="4">
        <f t="shared" si="1"/>
        <v>15</v>
      </c>
      <c r="B26" s="144">
        <v>9260</v>
      </c>
      <c r="C26" s="6" t="s">
        <v>327</v>
      </c>
      <c r="D26" s="116">
        <v>1009770.3432075272</v>
      </c>
      <c r="E26" s="116">
        <v>1054256.557936999</v>
      </c>
      <c r="F26" s="116">
        <v>1019899.9517827241</v>
      </c>
      <c r="G26" s="116">
        <v>982265.38164221391</v>
      </c>
      <c r="H26" s="116">
        <v>1097735.6628697559</v>
      </c>
      <c r="I26" s="116">
        <v>1064430.1520594757</v>
      </c>
      <c r="J26" s="116">
        <v>1141015.6975452001</v>
      </c>
      <c r="K26" s="116">
        <v>1042638.5525303954</v>
      </c>
      <c r="L26" s="116">
        <v>1039619.1049396095</v>
      </c>
      <c r="M26" s="116">
        <v>1134520.1533828296</v>
      </c>
      <c r="N26" s="116">
        <v>1045911.4837409991</v>
      </c>
      <c r="O26" s="116">
        <v>1149943.2460240547</v>
      </c>
      <c r="P26" s="6">
        <f t="shared" si="0"/>
        <v>12782006.287661785</v>
      </c>
      <c r="Q26" s="6"/>
    </row>
    <row r="27" spans="1:17">
      <c r="A27" s="4">
        <f t="shared" si="1"/>
        <v>16</v>
      </c>
      <c r="B27" s="144">
        <v>9310</v>
      </c>
      <c r="C27" s="6" t="s">
        <v>209</v>
      </c>
      <c r="D27" s="116">
        <v>133436.7835999633</v>
      </c>
      <c r="E27" s="116">
        <v>137342.05169905399</v>
      </c>
      <c r="F27" s="116">
        <v>139577.75077950335</v>
      </c>
      <c r="G27" s="116">
        <v>138231.39055978524</v>
      </c>
      <c r="H27" s="116">
        <v>138182.07091391427</v>
      </c>
      <c r="I27" s="116">
        <v>151047.2027226068</v>
      </c>
      <c r="J27" s="116">
        <v>137376.75824928418</v>
      </c>
      <c r="K27" s="116">
        <v>133211.70401175355</v>
      </c>
      <c r="L27" s="116">
        <v>133313.26431375064</v>
      </c>
      <c r="M27" s="116">
        <v>139098.7704363009</v>
      </c>
      <c r="N27" s="116">
        <v>138741.25072454085</v>
      </c>
      <c r="O27" s="116">
        <v>133264.54281752231</v>
      </c>
      <c r="P27" s="6">
        <f t="shared" si="0"/>
        <v>1652823.5408279793</v>
      </c>
      <c r="Q27" s="79"/>
    </row>
    <row r="28" spans="1:17">
      <c r="A28" s="4">
        <f t="shared" si="1"/>
        <v>17</v>
      </c>
      <c r="B28" s="144">
        <v>9320</v>
      </c>
      <c r="C28" s="6" t="s">
        <v>331</v>
      </c>
      <c r="D28" s="116">
        <v>11.381380207247659</v>
      </c>
      <c r="E28" s="116">
        <v>10.356030639027152</v>
      </c>
      <c r="F28" s="116">
        <v>24.710924594114285</v>
      </c>
      <c r="G28" s="116">
        <v>11.381380207247659</v>
      </c>
      <c r="H28" s="116">
        <v>59.470274956789574</v>
      </c>
      <c r="I28" s="116">
        <v>13.432079343688679</v>
      </c>
      <c r="J28" s="116">
        <v>52.395362936068054</v>
      </c>
      <c r="K28" s="116">
        <v>55.984086424839838</v>
      </c>
      <c r="L28" s="116">
        <v>10.356030639027152</v>
      </c>
      <c r="M28" s="116">
        <v>11.381380207247659</v>
      </c>
      <c r="N28" s="116">
        <v>53.420712504288566</v>
      </c>
      <c r="O28" s="116">
        <v>57.727180690814698</v>
      </c>
      <c r="P28" s="6">
        <f t="shared" si="0"/>
        <v>371.99682335040097</v>
      </c>
      <c r="Q28" s="6"/>
    </row>
    <row r="29" spans="1:17">
      <c r="A29" s="4">
        <f t="shared" si="1"/>
        <v>18</v>
      </c>
      <c r="B29" s="6"/>
      <c r="C29" s="242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9"/>
      <c r="P29" s="6"/>
      <c r="Q29" s="6"/>
    </row>
    <row r="30" spans="1:17" ht="15.75" thickBot="1">
      <c r="A30" s="4">
        <f t="shared" si="1"/>
        <v>19</v>
      </c>
      <c r="B30" s="6" t="s">
        <v>332</v>
      </c>
      <c r="C30" s="242"/>
      <c r="D30" s="230">
        <f t="shared" ref="D30:P30" si="3">SUM(D12:D29)</f>
        <v>2.2593837911699666E-10</v>
      </c>
      <c r="E30" s="230">
        <f t="shared" si="3"/>
        <v>2.6090951621426939E-10</v>
      </c>
      <c r="F30" s="230">
        <f t="shared" si="3"/>
        <v>4.1744385725905886E-12</v>
      </c>
      <c r="G30" s="230">
        <f t="shared" si="3"/>
        <v>4.0056136185739888E-10</v>
      </c>
      <c r="H30" s="230">
        <f t="shared" si="3"/>
        <v>3.8191672047105385E-11</v>
      </c>
      <c r="I30" s="230">
        <f t="shared" si="3"/>
        <v>6.5076655175744236E-10</v>
      </c>
      <c r="J30" s="230">
        <f t="shared" si="3"/>
        <v>-1.8327739326196024E-10</v>
      </c>
      <c r="K30" s="230">
        <f t="shared" si="3"/>
        <v>2.9025670755800093E-11</v>
      </c>
      <c r="L30" s="230">
        <f t="shared" si="3"/>
        <v>-2.6295943200693728E-10</v>
      </c>
      <c r="M30" s="230">
        <f t="shared" si="3"/>
        <v>5.751843445978011E-10</v>
      </c>
      <c r="N30" s="230">
        <f t="shared" si="3"/>
        <v>-4.219700144858507E-10</v>
      </c>
      <c r="O30" s="230">
        <f t="shared" si="3"/>
        <v>-6.2123461930241319E-10</v>
      </c>
      <c r="P30" s="230">
        <f t="shared" si="3"/>
        <v>-2.3605934984516352E-9</v>
      </c>
      <c r="Q30" s="232"/>
    </row>
    <row r="31" spans="1:17" ht="15.75" thickTop="1">
      <c r="A31" s="4">
        <f t="shared" si="1"/>
        <v>20</v>
      </c>
      <c r="B31" s="6"/>
      <c r="C31" s="24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6"/>
      <c r="Q31" s="6"/>
    </row>
    <row r="32" spans="1:17">
      <c r="A32" s="4">
        <f t="shared" si="1"/>
        <v>21</v>
      </c>
      <c r="B32" s="144">
        <f t="shared" ref="B32:O32" si="4">B22</f>
        <v>9220</v>
      </c>
      <c r="C32" s="6" t="str">
        <f t="shared" si="4"/>
        <v>A&amp;G-Administrative expense transferred-Credit</v>
      </c>
      <c r="D32" s="6">
        <f t="shared" si="4"/>
        <v>-4239140.2299999995</v>
      </c>
      <c r="E32" s="6">
        <f t="shared" si="4"/>
        <v>-4224786.16</v>
      </c>
      <c r="F32" s="6">
        <f t="shared" si="4"/>
        <v>-4389294.83</v>
      </c>
      <c r="G32" s="6">
        <f t="shared" si="4"/>
        <v>-4200956.63</v>
      </c>
      <c r="H32" s="6">
        <f t="shared" si="4"/>
        <v>-4458144.8132436816</v>
      </c>
      <c r="I32" s="6">
        <f t="shared" si="4"/>
        <v>-4260830.5182641707</v>
      </c>
      <c r="J32" s="6">
        <f t="shared" si="4"/>
        <v>-4645505.6441576201</v>
      </c>
      <c r="K32" s="6">
        <f t="shared" si="4"/>
        <v>-4272414.5782641713</v>
      </c>
      <c r="L32" s="6">
        <f t="shared" si="4"/>
        <v>-4202860.1482641716</v>
      </c>
      <c r="M32" s="6">
        <f t="shared" si="4"/>
        <v>-4573649.694157619</v>
      </c>
      <c r="N32" s="6">
        <f t="shared" si="4"/>
        <v>-4282075.9882641714</v>
      </c>
      <c r="O32" s="6">
        <f t="shared" si="4"/>
        <v>-4460128.1232436821</v>
      </c>
      <c r="P32" s="6">
        <f>SUM(D32:O32)</f>
        <v>-52209787.357859291</v>
      </c>
      <c r="Q32" s="6"/>
    </row>
    <row r="33" spans="1:17">
      <c r="A33" s="4">
        <f t="shared" si="1"/>
        <v>22</v>
      </c>
      <c r="B33" s="6"/>
      <c r="C33" s="6" t="s">
        <v>341</v>
      </c>
      <c r="D33" s="276">
        <v>5.712253040952902E-2</v>
      </c>
      <c r="E33" s="276">
        <f>D33</f>
        <v>5.712253040952902E-2</v>
      </c>
      <c r="F33" s="276">
        <f t="shared" ref="F33:O33" si="5">E33</f>
        <v>5.712253040952902E-2</v>
      </c>
      <c r="G33" s="276">
        <f t="shared" si="5"/>
        <v>5.712253040952902E-2</v>
      </c>
      <c r="H33" s="276">
        <f t="shared" si="5"/>
        <v>5.712253040952902E-2</v>
      </c>
      <c r="I33" s="276">
        <f t="shared" si="5"/>
        <v>5.712253040952902E-2</v>
      </c>
      <c r="J33" s="276">
        <f t="shared" si="5"/>
        <v>5.712253040952902E-2</v>
      </c>
      <c r="K33" s="276">
        <f t="shared" si="5"/>
        <v>5.712253040952902E-2</v>
      </c>
      <c r="L33" s="276">
        <f t="shared" si="5"/>
        <v>5.712253040952902E-2</v>
      </c>
      <c r="M33" s="276">
        <f t="shared" si="5"/>
        <v>5.712253040952902E-2</v>
      </c>
      <c r="N33" s="276">
        <f t="shared" si="5"/>
        <v>5.712253040952902E-2</v>
      </c>
      <c r="O33" s="276">
        <f t="shared" si="5"/>
        <v>5.712253040952902E-2</v>
      </c>
      <c r="P33" s="278">
        <f>P34/P32</f>
        <v>5.7122530409529013E-2</v>
      </c>
      <c r="Q33" s="279"/>
    </row>
    <row r="34" spans="1:17">
      <c r="A34" s="4">
        <f t="shared" si="1"/>
        <v>23</v>
      </c>
      <c r="B34" s="6"/>
      <c r="C34" s="6" t="s">
        <v>342</v>
      </c>
      <c r="D34" s="6">
        <f>D32*D33</f>
        <v>-242150.41669843282</v>
      </c>
      <c r="E34" s="6">
        <f t="shared" ref="E34:O34" si="6">E32*E33</f>
        <v>-241330.47589835734</v>
      </c>
      <c r="F34" s="6">
        <f t="shared" si="6"/>
        <v>-250727.62740306352</v>
      </c>
      <c r="G34" s="6">
        <f t="shared" si="6"/>
        <v>-239969.27284628755</v>
      </c>
      <c r="H34" s="6">
        <f t="shared" si="6"/>
        <v>-254660.51266459626</v>
      </c>
      <c r="I34" s="6">
        <f t="shared" si="6"/>
        <v>-243389.42084939437</v>
      </c>
      <c r="J34" s="6">
        <f t="shared" si="6"/>
        <v>-265363.03742603236</v>
      </c>
      <c r="K34" s="6">
        <f t="shared" si="6"/>
        <v>-244051.13166901021</v>
      </c>
      <c r="L34" s="6">
        <f t="shared" si="6"/>
        <v>-240078.00662621777</v>
      </c>
      <c r="M34" s="6">
        <f t="shared" si="6"/>
        <v>-261258.44373705168</v>
      </c>
      <c r="N34" s="6">
        <f t="shared" si="6"/>
        <v>-244603.01585553415</v>
      </c>
      <c r="O34" s="6">
        <f t="shared" si="6"/>
        <v>-254773.80435038282</v>
      </c>
      <c r="P34" s="6">
        <f>SUM(D34:O34)</f>
        <v>-2982355.1660243608</v>
      </c>
      <c r="Q34" s="233"/>
    </row>
    <row r="35" spans="1:17">
      <c r="A35" s="6"/>
      <c r="B35" s="6"/>
      <c r="C35" s="24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90"/>
      <c r="P35" s="253"/>
      <c r="Q35" s="6"/>
    </row>
    <row r="36" spans="1:17">
      <c r="A36" s="6"/>
      <c r="B36" s="6" t="s">
        <v>343</v>
      </c>
      <c r="C36" s="24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90"/>
      <c r="P36" s="99"/>
      <c r="Q36" s="6"/>
    </row>
    <row r="37" spans="1:17">
      <c r="A37" s="6"/>
      <c r="B37" s="6"/>
      <c r="C37" s="24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99"/>
    </row>
    <row r="38" spans="1:17">
      <c r="A38" s="6"/>
      <c r="B38" s="6"/>
      <c r="C38" s="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90"/>
      <c r="P38" s="99"/>
      <c r="Q38" s="99"/>
    </row>
    <row r="39" spans="1:17">
      <c r="A39" s="6"/>
      <c r="B39" s="6"/>
      <c r="C39" s="1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90"/>
      <c r="P39" s="99"/>
      <c r="Q39" s="6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A41" s="6"/>
      <c r="B41" s="6" t="s">
        <v>335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99"/>
      <c r="Q41" s="6"/>
    </row>
    <row r="42" spans="1:17">
      <c r="A42" s="6"/>
      <c r="B42" s="6" t="s">
        <v>347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90"/>
      <c r="P43" s="99"/>
      <c r="Q43" s="6"/>
    </row>
    <row r="44" spans="1:17">
      <c r="A44" s="6"/>
    </row>
    <row r="45" spans="1:17">
      <c r="A45" s="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25" footer="0.25"/>
  <pageSetup scale="52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zoomScale="60" zoomScaleNormal="75" workbookViewId="0">
      <pane xSplit="3" ySplit="11" topLeftCell="D12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ColWidth="7.109375" defaultRowHeight="15"/>
  <cols>
    <col min="1" max="1" width="4.664062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8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</row>
    <row r="2" spans="1:18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</row>
    <row r="3" spans="1:18" ht="15.75">
      <c r="A3" s="310" t="s">
        <v>348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</row>
    <row r="4" spans="1:18">
      <c r="A4" s="310" t="s">
        <v>395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</row>
    <row r="5" spans="1:18">
      <c r="A5" s="6"/>
      <c r="B5" s="158"/>
      <c r="C5" s="158"/>
      <c r="D5" s="158"/>
      <c r="E5" s="158"/>
      <c r="F5" s="158"/>
      <c r="G5" s="236"/>
      <c r="H5" s="158"/>
      <c r="I5" s="158"/>
      <c r="J5" s="158"/>
      <c r="K5" s="158"/>
      <c r="L5" s="158"/>
      <c r="M5" s="158"/>
      <c r="N5" s="158"/>
      <c r="O5" s="249"/>
      <c r="P5" s="6"/>
      <c r="Q5" s="6"/>
    </row>
    <row r="6" spans="1:18">
      <c r="A6" s="11" t="str">
        <f>'C.2.1 F'!A6</f>
        <v>Data:________Base Period___X____Forecasted Period</v>
      </c>
      <c r="B6" s="194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194"/>
      <c r="O6" s="194"/>
      <c r="P6" s="195" t="s">
        <v>235</v>
      </c>
      <c r="Q6" s="6"/>
    </row>
    <row r="7" spans="1:18" ht="15.75">
      <c r="A7" s="11" t="str">
        <f>'C.2.1 F'!A7</f>
        <v>Type of Filing:___X____Original________Updated ________Revised</v>
      </c>
      <c r="B7" s="194"/>
      <c r="C7" s="11"/>
      <c r="D7" s="6"/>
      <c r="E7" s="6"/>
      <c r="F7" s="220"/>
      <c r="G7" s="6"/>
      <c r="H7" s="6"/>
      <c r="I7" s="6"/>
      <c r="J7" s="6"/>
      <c r="K7" s="6"/>
      <c r="L7" s="6"/>
      <c r="M7" s="6"/>
      <c r="N7" s="194"/>
      <c r="O7" s="194"/>
      <c r="P7" s="196" t="s">
        <v>236</v>
      </c>
      <c r="Q7" s="6"/>
    </row>
    <row r="8" spans="1:18">
      <c r="A8" s="59" t="str">
        <f>'C.2.1 F'!A8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3"/>
      <c r="N8" s="197"/>
      <c r="O8" s="197"/>
      <c r="P8" s="198" t="str">
        <f>C.1!J9</f>
        <v>Witness: Waller, Smith</v>
      </c>
      <c r="Q8" s="6"/>
    </row>
    <row r="9" spans="1:18">
      <c r="A9" s="271" t="s">
        <v>21</v>
      </c>
      <c r="B9" s="272" t="s">
        <v>237</v>
      </c>
      <c r="C9" s="273"/>
      <c r="D9" s="262" t="s">
        <v>20</v>
      </c>
      <c r="E9" s="204" t="s">
        <v>20</v>
      </c>
      <c r="F9" s="204" t="s">
        <v>20</v>
      </c>
      <c r="G9" s="204" t="s">
        <v>20</v>
      </c>
      <c r="H9" s="204" t="s">
        <v>20</v>
      </c>
      <c r="I9" s="204" t="s">
        <v>20</v>
      </c>
      <c r="J9" s="204" t="s">
        <v>20</v>
      </c>
      <c r="K9" s="204" t="s">
        <v>20</v>
      </c>
      <c r="L9" s="204" t="s">
        <v>20</v>
      </c>
      <c r="M9" s="204" t="s">
        <v>20</v>
      </c>
      <c r="N9" s="204" t="s">
        <v>20</v>
      </c>
      <c r="O9" s="204" t="s">
        <v>20</v>
      </c>
      <c r="P9" s="239"/>
      <c r="Q9" s="6"/>
    </row>
    <row r="10" spans="1:18">
      <c r="A10" s="274" t="s">
        <v>24</v>
      </c>
      <c r="B10" s="3" t="s">
        <v>24</v>
      </c>
      <c r="C10" s="275" t="s">
        <v>240</v>
      </c>
      <c r="D10" s="207">
        <f>'C.2.2-F 09'!D10</f>
        <v>42551</v>
      </c>
      <c r="E10" s="207">
        <f>'C.2.2-F 09'!F10</f>
        <v>42613</v>
      </c>
      <c r="F10" s="207">
        <f>'C.2.2-F 09'!F10</f>
        <v>42613</v>
      </c>
      <c r="G10" s="207">
        <f>'C.2.2-F 09'!G10</f>
        <v>42643</v>
      </c>
      <c r="H10" s="207">
        <f>'C.2.2-F 09'!H10</f>
        <v>42674</v>
      </c>
      <c r="I10" s="207">
        <f>'C.2.2-F 09'!I10</f>
        <v>42704</v>
      </c>
      <c r="J10" s="207">
        <f>'C.2.2-F 09'!J10</f>
        <v>42735</v>
      </c>
      <c r="K10" s="207">
        <f>'C.2.2-F 09'!K10</f>
        <v>42766</v>
      </c>
      <c r="L10" s="207">
        <f>'C.2.2-F 09'!L10</f>
        <v>42794</v>
      </c>
      <c r="M10" s="207">
        <f>'C.2.2-F 09'!M10</f>
        <v>42825</v>
      </c>
      <c r="N10" s="207">
        <f>'C.2.2-F 09'!N10</f>
        <v>42855</v>
      </c>
      <c r="O10" s="207">
        <f>'C.2.2-F 09'!O10</f>
        <v>42886</v>
      </c>
      <c r="P10" s="240" t="str">
        <f>'C.2.2 B 09'!P10</f>
        <v>Total</v>
      </c>
      <c r="Q10" s="210"/>
    </row>
    <row r="11" spans="1:18">
      <c r="A11" s="6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</row>
    <row r="12" spans="1:18">
      <c r="A12" s="4">
        <v>1</v>
      </c>
      <c r="B12" s="144">
        <v>4030</v>
      </c>
      <c r="C12" s="6" t="s">
        <v>70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44">
        <f t="shared" ref="P12:P46" si="0">SUM(D12:O12)</f>
        <v>0</v>
      </c>
      <c r="Q12" s="6"/>
    </row>
    <row r="13" spans="1:18">
      <c r="A13" s="4">
        <f>A12+1</f>
        <v>2</v>
      </c>
      <c r="B13" s="144">
        <v>4060</v>
      </c>
      <c r="C13" s="6" t="s">
        <v>244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44"/>
      <c r="Q13" s="6"/>
    </row>
    <row r="14" spans="1:18">
      <c r="A14" s="4">
        <f t="shared" ref="A14:A52" si="1">A13+1</f>
        <v>3</v>
      </c>
      <c r="B14" s="144">
        <v>4081</v>
      </c>
      <c r="C14" s="6" t="s">
        <v>245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44">
        <f t="shared" si="0"/>
        <v>0</v>
      </c>
      <c r="Q14" s="6"/>
    </row>
    <row r="15" spans="1:18">
      <c r="A15" s="4">
        <f t="shared" si="1"/>
        <v>4</v>
      </c>
      <c r="B15" s="144">
        <v>8170</v>
      </c>
      <c r="C15" s="6" t="s">
        <v>274</v>
      </c>
      <c r="D15" s="116">
        <v>43.397317079154668</v>
      </c>
      <c r="E15" s="116">
        <v>42.787408038999693</v>
      </c>
      <c r="F15" s="116">
        <v>43.25477653943306</v>
      </c>
      <c r="G15" s="116">
        <v>42.019827232598821</v>
      </c>
      <c r="H15" s="116">
        <v>40.632852957823019</v>
      </c>
      <c r="I15" s="116">
        <v>41.089256801354722</v>
      </c>
      <c r="J15" s="116">
        <v>44.444441813263438</v>
      </c>
      <c r="K15" s="116">
        <v>47.069106559098891</v>
      </c>
      <c r="L15" s="116">
        <v>48.143642935461813</v>
      </c>
      <c r="M15" s="116">
        <v>48.997515591678777</v>
      </c>
      <c r="N15" s="116">
        <v>49.351125776757392</v>
      </c>
      <c r="O15" s="116">
        <v>45.121509376941091</v>
      </c>
      <c r="P15" s="6">
        <f t="shared" si="0"/>
        <v>536.3087807025654</v>
      </c>
      <c r="Q15" s="6"/>
      <c r="R15" s="144"/>
    </row>
    <row r="16" spans="1:18">
      <c r="A16" s="4">
        <f t="shared" si="1"/>
        <v>5</v>
      </c>
      <c r="B16" s="144">
        <v>8180</v>
      </c>
      <c r="C16" s="6" t="s">
        <v>275</v>
      </c>
      <c r="D16" s="116">
        <v>42.813793657096312</v>
      </c>
      <c r="E16" s="116">
        <v>42.212085497415273</v>
      </c>
      <c r="F16" s="116">
        <v>42.673169727642801</v>
      </c>
      <c r="G16" s="116">
        <v>41.454825637307891</v>
      </c>
      <c r="H16" s="116">
        <v>40.086500717598199</v>
      </c>
      <c r="I16" s="116">
        <v>40.53676772248312</v>
      </c>
      <c r="J16" s="116">
        <v>43.846838677312746</v>
      </c>
      <c r="K16" s="116">
        <v>46.43621199369295</v>
      </c>
      <c r="L16" s="116">
        <v>47.496300077265801</v>
      </c>
      <c r="M16" s="116">
        <v>48.338691500819323</v>
      </c>
      <c r="N16" s="116">
        <v>48.687547018117527</v>
      </c>
      <c r="O16" s="116">
        <v>44.514802342217081</v>
      </c>
      <c r="P16" s="6">
        <f t="shared" si="0"/>
        <v>529.09753456896897</v>
      </c>
      <c r="Q16" s="6"/>
      <c r="R16" s="144"/>
    </row>
    <row r="17" spans="1:18">
      <c r="A17" s="4">
        <f t="shared" si="1"/>
        <v>6</v>
      </c>
      <c r="B17" s="144">
        <v>8190</v>
      </c>
      <c r="C17" s="6" t="s">
        <v>276</v>
      </c>
      <c r="D17" s="116">
        <v>530.62326495554078</v>
      </c>
      <c r="E17" s="116">
        <v>523.16584712432677</v>
      </c>
      <c r="F17" s="116">
        <v>528.88040775453794</v>
      </c>
      <c r="G17" s="116">
        <v>513.78056109692682</v>
      </c>
      <c r="H17" s="116">
        <v>496.82189020147672</v>
      </c>
      <c r="I17" s="116">
        <v>502.40238489314919</v>
      </c>
      <c r="J17" s="116">
        <v>543.42656208598441</v>
      </c>
      <c r="K17" s="116">
        <v>575.51859612368037</v>
      </c>
      <c r="L17" s="116">
        <v>588.65705810047075</v>
      </c>
      <c r="M17" s="116">
        <v>599.09744306417019</v>
      </c>
      <c r="N17" s="116">
        <v>603.42106958204249</v>
      </c>
      <c r="O17" s="116">
        <v>551.70513379074771</v>
      </c>
      <c r="P17" s="6">
        <f t="shared" si="0"/>
        <v>6557.5002187730543</v>
      </c>
      <c r="Q17" s="6"/>
      <c r="R17" s="144"/>
    </row>
    <row r="18" spans="1:18">
      <c r="A18" s="4">
        <f t="shared" si="1"/>
        <v>7</v>
      </c>
      <c r="B18" s="144">
        <v>8210</v>
      </c>
      <c r="C18" s="6" t="s">
        <v>278</v>
      </c>
      <c r="D18" s="116">
        <v>253.69128261273127</v>
      </c>
      <c r="E18" s="116">
        <v>250.12588693650093</v>
      </c>
      <c r="F18" s="116">
        <v>252.85802160075835</v>
      </c>
      <c r="G18" s="116">
        <v>245.63877638702672</v>
      </c>
      <c r="H18" s="116">
        <v>237.53082625552543</v>
      </c>
      <c r="I18" s="116">
        <v>240.19886391886183</v>
      </c>
      <c r="J18" s="116">
        <v>259.81254620068631</v>
      </c>
      <c r="K18" s="116">
        <v>275.15576579614947</v>
      </c>
      <c r="L18" s="116">
        <v>281.43727188640696</v>
      </c>
      <c r="M18" s="116">
        <v>286.42882583312945</v>
      </c>
      <c r="N18" s="116">
        <v>288.49595411283155</v>
      </c>
      <c r="O18" s="116">
        <v>263.77053600755772</v>
      </c>
      <c r="P18" s="6">
        <f t="shared" si="0"/>
        <v>3135.1445575481657</v>
      </c>
      <c r="Q18" s="6"/>
      <c r="R18" s="144"/>
    </row>
    <row r="19" spans="1:18">
      <c r="A19" s="4">
        <f t="shared" si="1"/>
        <v>8</v>
      </c>
      <c r="B19" s="144">
        <v>8240</v>
      </c>
      <c r="C19" s="6" t="s">
        <v>279</v>
      </c>
      <c r="D19" s="116">
        <v>21.101710498913359</v>
      </c>
      <c r="E19" s="116">
        <v>20.805145529872856</v>
      </c>
      <c r="F19" s="116">
        <v>21.032400933115127</v>
      </c>
      <c r="G19" s="116">
        <v>20.431913518049392</v>
      </c>
      <c r="H19" s="116">
        <v>19.757504785307304</v>
      </c>
      <c r="I19" s="116">
        <v>19.979428683488173</v>
      </c>
      <c r="J19" s="116">
        <v>21.610869232277278</v>
      </c>
      <c r="K19" s="116">
        <v>22.887098256350455</v>
      </c>
      <c r="L19" s="116">
        <v>23.409585752367878</v>
      </c>
      <c r="M19" s="116">
        <v>23.824776709024583</v>
      </c>
      <c r="N19" s="116">
        <v>23.996717747254809</v>
      </c>
      <c r="O19" s="116">
        <v>21.940089669818871</v>
      </c>
      <c r="P19" s="6">
        <f t="shared" si="0"/>
        <v>260.77724131584012</v>
      </c>
      <c r="Q19" s="6"/>
      <c r="R19" s="144"/>
    </row>
    <row r="20" spans="1:18">
      <c r="A20" s="4">
        <f t="shared" si="1"/>
        <v>9</v>
      </c>
      <c r="B20" s="144">
        <v>8250</v>
      </c>
      <c r="C20" s="6" t="s">
        <v>280</v>
      </c>
      <c r="D20" s="116">
        <v>1892.6349501073055</v>
      </c>
      <c r="E20" s="116">
        <v>1866.0357213190778</v>
      </c>
      <c r="F20" s="116">
        <v>1886.4185011320792</v>
      </c>
      <c r="G20" s="116">
        <v>1832.5601435874844</v>
      </c>
      <c r="H20" s="116">
        <v>1772.0717041166185</v>
      </c>
      <c r="I20" s="116">
        <v>1791.9762955469105</v>
      </c>
      <c r="J20" s="116">
        <v>1938.3019406560832</v>
      </c>
      <c r="K20" s="116">
        <v>2052.7682847672213</v>
      </c>
      <c r="L20" s="116">
        <v>2099.6307462727736</v>
      </c>
      <c r="M20" s="116">
        <v>2136.8696665762923</v>
      </c>
      <c r="N20" s="116">
        <v>2152.2912419186805</v>
      </c>
      <c r="O20" s="116">
        <v>1967.8300732884081</v>
      </c>
      <c r="P20" s="6">
        <f t="shared" si="0"/>
        <v>23389.389269288935</v>
      </c>
      <c r="Q20" s="6"/>
      <c r="R20" s="144"/>
    </row>
    <row r="21" spans="1:18">
      <c r="A21" s="4">
        <f t="shared" si="1"/>
        <v>10</v>
      </c>
      <c r="B21" s="144">
        <v>8560</v>
      </c>
      <c r="C21" s="6" t="s">
        <v>287</v>
      </c>
      <c r="D21" s="116">
        <v>180.53474797225684</v>
      </c>
      <c r="E21" s="116">
        <v>185.05508232658852</v>
      </c>
      <c r="F21" s="116">
        <v>202.49665909877274</v>
      </c>
      <c r="G21" s="116">
        <v>189.56120747297021</v>
      </c>
      <c r="H21" s="116">
        <v>181.45324336972965</v>
      </c>
      <c r="I21" s="116">
        <v>196.93241776361486</v>
      </c>
      <c r="J21" s="116">
        <v>196.81369913695752</v>
      </c>
      <c r="K21" s="116">
        <v>205.62771227041577</v>
      </c>
      <c r="L21" s="116">
        <v>192.82216525906563</v>
      </c>
      <c r="M21" s="116">
        <v>203.85870587958235</v>
      </c>
      <c r="N21" s="116">
        <v>202.1660550187857</v>
      </c>
      <c r="O21" s="116">
        <v>215.43341110941881</v>
      </c>
      <c r="P21" s="6">
        <f t="shared" si="0"/>
        <v>2352.7551066781589</v>
      </c>
      <c r="Q21" s="6"/>
      <c r="R21" s="144"/>
    </row>
    <row r="22" spans="1:18">
      <c r="A22" s="4">
        <f t="shared" si="1"/>
        <v>11</v>
      </c>
      <c r="B22" s="144">
        <v>8570</v>
      </c>
      <c r="C22" s="6" t="s">
        <v>288</v>
      </c>
      <c r="D22" s="116">
        <v>86.792844209161913</v>
      </c>
      <c r="E22" s="116">
        <v>85.573051284927033</v>
      </c>
      <c r="F22" s="116">
        <v>86.507769008891287</v>
      </c>
      <c r="G22" s="116">
        <v>84.037921331469747</v>
      </c>
      <c r="H22" s="116">
        <v>81.264029988528776</v>
      </c>
      <c r="I22" s="116">
        <v>82.176818850933742</v>
      </c>
      <c r="J22" s="116">
        <v>88.887050488073015</v>
      </c>
      <c r="K22" s="116">
        <v>94.136271723825345</v>
      </c>
      <c r="L22" s="116">
        <v>96.285300156634662</v>
      </c>
      <c r="M22" s="116">
        <v>97.993010250563486</v>
      </c>
      <c r="N22" s="116">
        <v>98.700216035850218</v>
      </c>
      <c r="O22" s="116">
        <v>90.241157689358474</v>
      </c>
      <c r="P22" s="6">
        <f t="shared" si="0"/>
        <v>1072.5954410182176</v>
      </c>
      <c r="Q22" s="6"/>
      <c r="R22" s="144"/>
    </row>
    <row r="23" spans="1:18">
      <c r="A23" s="4">
        <f t="shared" si="1"/>
        <v>12</v>
      </c>
      <c r="B23" s="144">
        <v>8650</v>
      </c>
      <c r="C23" s="255" t="s">
        <v>350</v>
      </c>
      <c r="D23" s="116">
        <v>2.0473950400979639</v>
      </c>
      <c r="E23" s="116">
        <v>3.9217211403648395</v>
      </c>
      <c r="F23" s="116">
        <v>5.0894631695529045</v>
      </c>
      <c r="G23" s="116">
        <v>3.9779431731910857</v>
      </c>
      <c r="H23" s="116">
        <v>2.2271475890565529</v>
      </c>
      <c r="I23" s="116">
        <v>5.8506048296608864</v>
      </c>
      <c r="J23" s="116">
        <v>3.1597896998298647</v>
      </c>
      <c r="K23" s="116">
        <v>6.0495593765710938</v>
      </c>
      <c r="L23" s="116">
        <v>3.5106920959932033</v>
      </c>
      <c r="M23" s="116">
        <v>3.3873202740588084</v>
      </c>
      <c r="N23" s="116">
        <v>4.9105815934016546</v>
      </c>
      <c r="O23" s="116">
        <v>7.2958513431803098</v>
      </c>
      <c r="P23" s="6">
        <f t="shared" si="0"/>
        <v>51.428069324959168</v>
      </c>
      <c r="Q23" s="6"/>
      <c r="R23" s="144"/>
    </row>
    <row r="24" spans="1:18">
      <c r="A24" s="4">
        <f t="shared" si="1"/>
        <v>13</v>
      </c>
      <c r="B24" s="144">
        <v>8700</v>
      </c>
      <c r="C24" s="6" t="s">
        <v>292</v>
      </c>
      <c r="D24" s="116">
        <v>390818.04890339996</v>
      </c>
      <c r="E24" s="116">
        <v>355405.60569671937</v>
      </c>
      <c r="F24" s="116">
        <v>397637.26608418446</v>
      </c>
      <c r="G24" s="116">
        <v>406093.24358531245</v>
      </c>
      <c r="H24" s="116">
        <v>352450.91531155852</v>
      </c>
      <c r="I24" s="116">
        <v>411222.22902339842</v>
      </c>
      <c r="J24" s="116">
        <v>384948.7545350311</v>
      </c>
      <c r="K24" s="116">
        <v>406619.66495568561</v>
      </c>
      <c r="L24" s="116">
        <v>411360.95769886236</v>
      </c>
      <c r="M24" s="116">
        <v>394924.75733174384</v>
      </c>
      <c r="N24" s="116">
        <v>378235.75865843758</v>
      </c>
      <c r="O24" s="116">
        <v>423100.5307050363</v>
      </c>
      <c r="P24" s="6">
        <f t="shared" si="0"/>
        <v>4712817.7324893707</v>
      </c>
      <c r="Q24" s="6"/>
      <c r="R24" s="144"/>
    </row>
    <row r="25" spans="1:18">
      <c r="A25" s="4">
        <f t="shared" si="1"/>
        <v>14</v>
      </c>
      <c r="B25" s="144">
        <v>8711</v>
      </c>
      <c r="C25" s="6" t="s">
        <v>294</v>
      </c>
      <c r="D25" s="116">
        <v>3871.4087141210334</v>
      </c>
      <c r="E25" s="116">
        <v>7415.5622631745055</v>
      </c>
      <c r="F25" s="116">
        <v>9623.6396391105845</v>
      </c>
      <c r="G25" s="116">
        <v>7521.8722148674206</v>
      </c>
      <c r="H25" s="116">
        <v>4211.3018811917382</v>
      </c>
      <c r="I25" s="116">
        <v>11062.878475735681</v>
      </c>
      <c r="J25" s="116">
        <v>5974.830034816292</v>
      </c>
      <c r="K25" s="116">
        <v>11439.080601626016</v>
      </c>
      <c r="L25" s="116">
        <v>6638.3495646124074</v>
      </c>
      <c r="M25" s="116">
        <v>6405.0664232744512</v>
      </c>
      <c r="N25" s="116">
        <v>9285.3933900259326</v>
      </c>
      <c r="O25" s="116">
        <v>13795.687648812716</v>
      </c>
      <c r="P25" s="6">
        <f t="shared" si="0"/>
        <v>97245.070851368771</v>
      </c>
      <c r="Q25" s="6"/>
    </row>
    <row r="26" spans="1:18">
      <c r="A26" s="4">
        <f t="shared" si="1"/>
        <v>15</v>
      </c>
      <c r="B26" s="144">
        <v>8740</v>
      </c>
      <c r="C26" s="6" t="s">
        <v>296</v>
      </c>
      <c r="D26" s="116">
        <v>136.36803927530002</v>
      </c>
      <c r="E26" s="116">
        <v>758.68639394040508</v>
      </c>
      <c r="F26" s="116">
        <v>342.63376193860785</v>
      </c>
      <c r="G26" s="116">
        <v>623.34431273414532</v>
      </c>
      <c r="H26" s="116">
        <v>186.08280391789407</v>
      </c>
      <c r="I26" s="116">
        <v>506.69603624273037</v>
      </c>
      <c r="J26" s="116">
        <v>141.3501852521016</v>
      </c>
      <c r="K26" s="116">
        <v>1758.2683722417257</v>
      </c>
      <c r="L26" s="116">
        <v>452.12725049548129</v>
      </c>
      <c r="M26" s="116">
        <v>632.05656211767894</v>
      </c>
      <c r="N26" s="116">
        <v>682.65789154267691</v>
      </c>
      <c r="O26" s="116">
        <v>1552.1761898843904</v>
      </c>
      <c r="P26" s="6">
        <f t="shared" si="0"/>
        <v>7772.4477995831385</v>
      </c>
      <c r="Q26" s="6"/>
      <c r="R26" s="144"/>
    </row>
    <row r="27" spans="1:18">
      <c r="A27" s="4">
        <f t="shared" si="1"/>
        <v>16</v>
      </c>
      <c r="B27" s="144">
        <v>8750</v>
      </c>
      <c r="C27" s="6" t="s">
        <v>357</v>
      </c>
      <c r="D27" s="116">
        <v>10246.838448876106</v>
      </c>
      <c r="E27" s="116">
        <v>11683.958046423148</v>
      </c>
      <c r="F27" s="116">
        <v>12790.84929448812</v>
      </c>
      <c r="G27" s="116">
        <v>11735.318869082688</v>
      </c>
      <c r="H27" s="116">
        <v>10343.893971034831</v>
      </c>
      <c r="I27" s="116">
        <v>12955.74727096441</v>
      </c>
      <c r="J27" s="116">
        <v>10927.545929181664</v>
      </c>
      <c r="K27" s="116">
        <v>13162.272750333235</v>
      </c>
      <c r="L27" s="116">
        <v>10985.741271633295</v>
      </c>
      <c r="M27" s="116">
        <v>10950.728106863471</v>
      </c>
      <c r="N27" s="116">
        <v>12552.919595280788</v>
      </c>
      <c r="O27" s="116">
        <v>14305.177648547908</v>
      </c>
      <c r="P27" s="6">
        <f t="shared" si="0"/>
        <v>142640.99120270967</v>
      </c>
      <c r="Q27" s="6"/>
      <c r="R27" s="144"/>
    </row>
    <row r="28" spans="1:18">
      <c r="A28" s="4">
        <f t="shared" si="1"/>
        <v>17</v>
      </c>
      <c r="B28" s="144">
        <v>8760</v>
      </c>
      <c r="C28" t="s">
        <v>298</v>
      </c>
      <c r="D28" s="116">
        <v>95.104801862615105</v>
      </c>
      <c r="E28" s="116">
        <v>182.1702723266248</v>
      </c>
      <c r="F28" s="116">
        <v>236.41377303729621</v>
      </c>
      <c r="G28" s="116">
        <v>184.78187643210202</v>
      </c>
      <c r="H28" s="116">
        <v>103.45459768520762</v>
      </c>
      <c r="I28" s="116">
        <v>271.77003079715081</v>
      </c>
      <c r="J28" s="116">
        <v>146.77732799209693</v>
      </c>
      <c r="K28" s="116">
        <v>281.01179039556047</v>
      </c>
      <c r="L28" s="116">
        <v>163.07731026549072</v>
      </c>
      <c r="M28" s="116">
        <v>157.3464901498285</v>
      </c>
      <c r="N28" s="116">
        <v>228.10443530639941</v>
      </c>
      <c r="O28" s="116">
        <v>338.90406239289177</v>
      </c>
      <c r="P28" s="6">
        <f t="shared" si="0"/>
        <v>2388.9167686432643</v>
      </c>
      <c r="Q28" s="6"/>
      <c r="R28" s="144"/>
    </row>
    <row r="29" spans="1:18">
      <c r="A29" s="4">
        <f t="shared" si="1"/>
        <v>18</v>
      </c>
      <c r="B29" s="144">
        <v>8770</v>
      </c>
      <c r="C29" s="6" t="s">
        <v>299</v>
      </c>
      <c r="D29" s="116">
        <v>803.20030454865616</v>
      </c>
      <c r="E29" s="116">
        <v>877.62092024947174</v>
      </c>
      <c r="F29" s="116">
        <v>916.19925933084994</v>
      </c>
      <c r="G29" s="116">
        <v>1355.5118029589198</v>
      </c>
      <c r="H29" s="116">
        <v>803.21184313128913</v>
      </c>
      <c r="I29" s="116">
        <v>911.71110018709828</v>
      </c>
      <c r="J29" s="116">
        <v>868.76372149375891</v>
      </c>
      <c r="K29" s="116">
        <v>971.89744986463938</v>
      </c>
      <c r="L29" s="116">
        <v>893.951716412049</v>
      </c>
      <c r="M29" s="116">
        <v>897.90926350558175</v>
      </c>
      <c r="N29" s="116">
        <v>910.09144887492755</v>
      </c>
      <c r="O29" s="116">
        <v>997.07935517975056</v>
      </c>
      <c r="P29" s="6">
        <f t="shared" si="0"/>
        <v>11207.148185736993</v>
      </c>
      <c r="Q29" s="6"/>
    </row>
    <row r="30" spans="1:18">
      <c r="A30" s="4">
        <f t="shared" si="1"/>
        <v>19</v>
      </c>
      <c r="B30" s="144">
        <v>8800</v>
      </c>
      <c r="C30" s="6" t="s">
        <v>302</v>
      </c>
      <c r="D30" s="116">
        <v>103.58240224538814</v>
      </c>
      <c r="E30" s="116">
        <v>102.65569581762655</v>
      </c>
      <c r="F30" s="116">
        <v>89.128052467106215</v>
      </c>
      <c r="G30" s="116">
        <v>126.39146611495735</v>
      </c>
      <c r="H30" s="116">
        <v>105.86530967153556</v>
      </c>
      <c r="I30" s="116">
        <v>171.68814656514871</v>
      </c>
      <c r="J30" s="116">
        <v>95.416527945257712</v>
      </c>
      <c r="K30" s="116">
        <v>118.00720025284338</v>
      </c>
      <c r="L30" s="116">
        <v>87.317310778426901</v>
      </c>
      <c r="M30" s="116">
        <v>99.525151724225324</v>
      </c>
      <c r="N30" s="116">
        <v>107.95562259722823</v>
      </c>
      <c r="O30" s="116">
        <v>103.40646098499563</v>
      </c>
      <c r="P30" s="6">
        <f t="shared" si="0"/>
        <v>1310.9393471647397</v>
      </c>
      <c r="Q30" s="6"/>
    </row>
    <row r="31" spans="1:18">
      <c r="A31" s="4">
        <f t="shared" si="1"/>
        <v>20</v>
      </c>
      <c r="B31" s="144">
        <v>8810</v>
      </c>
      <c r="C31" s="6" t="s">
        <v>303</v>
      </c>
      <c r="D31" s="116">
        <v>26974.780664574886</v>
      </c>
      <c r="E31" s="116">
        <v>26595.675141680134</v>
      </c>
      <c r="F31" s="116">
        <v>26886.180722145546</v>
      </c>
      <c r="G31" s="116">
        <v>26118.564451698192</v>
      </c>
      <c r="H31" s="116">
        <v>25256.452934959845</v>
      </c>
      <c r="I31" s="116">
        <v>25540.143135238384</v>
      </c>
      <c r="J31" s="116">
        <v>27625.649472421137</v>
      </c>
      <c r="K31" s="116">
        <v>29257.081104653567</v>
      </c>
      <c r="L31" s="116">
        <v>29924.988362966993</v>
      </c>
      <c r="M31" s="116">
        <v>30455.736095019638</v>
      </c>
      <c r="N31" s="116">
        <v>30675.532106046252</v>
      </c>
      <c r="O31" s="116">
        <v>28046.499198960468</v>
      </c>
      <c r="P31" s="6">
        <f t="shared" si="0"/>
        <v>333357.28339036508</v>
      </c>
      <c r="Q31" s="6"/>
      <c r="R31" s="144"/>
    </row>
    <row r="32" spans="1:18">
      <c r="A32" s="4">
        <f t="shared" si="1"/>
        <v>21</v>
      </c>
      <c r="B32" s="144">
        <v>9010</v>
      </c>
      <c r="C32" t="s">
        <v>339</v>
      </c>
      <c r="D32" s="116">
        <v>1394.1081679045922</v>
      </c>
      <c r="E32" s="116">
        <v>669.89943920930909</v>
      </c>
      <c r="F32" s="116">
        <v>2300.851832821827</v>
      </c>
      <c r="G32" s="116">
        <v>695.73384983263315</v>
      </c>
      <c r="H32" s="116">
        <v>693.73047083823781</v>
      </c>
      <c r="I32" s="116">
        <v>1508.435452625813</v>
      </c>
      <c r="J32" s="116">
        <v>657.67943269280556</v>
      </c>
      <c r="K32" s="116">
        <v>2238.760859782531</v>
      </c>
      <c r="L32" s="116">
        <v>3439.51083849305</v>
      </c>
      <c r="M32" s="116">
        <v>624.87522646403932</v>
      </c>
      <c r="N32" s="116">
        <v>903.21366041065414</v>
      </c>
      <c r="O32" s="116">
        <v>2641.902851743328</v>
      </c>
      <c r="P32" s="6">
        <f t="shared" si="0"/>
        <v>17768.702082818822</v>
      </c>
      <c r="Q32" s="6"/>
      <c r="R32" s="144"/>
    </row>
    <row r="33" spans="1:18">
      <c r="A33" s="4">
        <f t="shared" si="1"/>
        <v>22</v>
      </c>
      <c r="B33" s="144">
        <v>9030</v>
      </c>
      <c r="C33" s="6" t="s">
        <v>314</v>
      </c>
      <c r="D33" s="116">
        <v>291191.88127310091</v>
      </c>
      <c r="E33" s="116">
        <v>290351.32145474787</v>
      </c>
      <c r="F33" s="116">
        <v>288684.71529841115</v>
      </c>
      <c r="G33" s="116">
        <v>472792.72380139411</v>
      </c>
      <c r="H33" s="116">
        <v>288923.08688988496</v>
      </c>
      <c r="I33" s="116">
        <v>274587.98708272772</v>
      </c>
      <c r="J33" s="116">
        <v>300460.61170972197</v>
      </c>
      <c r="K33" s="116">
        <v>294400.79374014144</v>
      </c>
      <c r="L33" s="116">
        <v>303253.40074720618</v>
      </c>
      <c r="M33" s="116">
        <v>308096.83303529007</v>
      </c>
      <c r="N33" s="116">
        <v>288148.58860330662</v>
      </c>
      <c r="O33" s="116">
        <v>285725.13870952674</v>
      </c>
      <c r="P33" s="6">
        <f t="shared" si="0"/>
        <v>3686617.0823454596</v>
      </c>
      <c r="Q33" s="6"/>
      <c r="R33" s="144"/>
    </row>
    <row r="34" spans="1:18">
      <c r="A34" s="4">
        <f t="shared" si="1"/>
        <v>23</v>
      </c>
      <c r="B34" s="144">
        <v>9100</v>
      </c>
      <c r="C34" s="6" t="s">
        <v>317</v>
      </c>
      <c r="D34" s="116">
        <v>61.742262540158578</v>
      </c>
      <c r="E34" s="116">
        <v>29.668506363701876</v>
      </c>
      <c r="F34" s="116">
        <v>101.90012597201306</v>
      </c>
      <c r="G34" s="116">
        <v>30.812660741387656</v>
      </c>
      <c r="H34" s="116">
        <v>30.723935092483874</v>
      </c>
      <c r="I34" s="116">
        <v>66.805589325892001</v>
      </c>
      <c r="J34" s="116">
        <v>29.127306715098971</v>
      </c>
      <c r="K34" s="116">
        <v>99.150240958048727</v>
      </c>
      <c r="L34" s="116">
        <v>152.32905601518019</v>
      </c>
      <c r="M34" s="116">
        <v>27.67447402963937</v>
      </c>
      <c r="N34" s="116">
        <v>40.001526592267048</v>
      </c>
      <c r="O34" s="116">
        <v>117.0045934980085</v>
      </c>
      <c r="P34" s="6">
        <f t="shared" si="0"/>
        <v>786.94027784387981</v>
      </c>
      <c r="Q34" s="6"/>
      <c r="R34" s="144"/>
    </row>
    <row r="35" spans="1:18">
      <c r="A35" s="4">
        <f t="shared" si="1"/>
        <v>24</v>
      </c>
      <c r="B35" s="144">
        <v>9110</v>
      </c>
      <c r="C35" s="6" t="s">
        <v>318</v>
      </c>
      <c r="D35" s="116">
        <v>12955.137929415927</v>
      </c>
      <c r="E35" s="116">
        <v>12496.880862451713</v>
      </c>
      <c r="F35" s="116">
        <v>12930.253529591417</v>
      </c>
      <c r="G35" s="116">
        <v>13702.493634509494</v>
      </c>
      <c r="H35" s="116">
        <v>13310.956770510811</v>
      </c>
      <c r="I35" s="116">
        <v>14975.138465703369</v>
      </c>
      <c r="J35" s="116">
        <v>13429.414349034809</v>
      </c>
      <c r="K35" s="116">
        <v>13263.830110014907</v>
      </c>
      <c r="L35" s="116">
        <v>12275.293038773672</v>
      </c>
      <c r="M35" s="116">
        <v>13579.266080377276</v>
      </c>
      <c r="N35" s="116">
        <v>12937.546686693016</v>
      </c>
      <c r="O35" s="116">
        <v>13252.190395143491</v>
      </c>
      <c r="P35" s="6">
        <f t="shared" si="0"/>
        <v>159108.40185221989</v>
      </c>
      <c r="Q35" s="6"/>
      <c r="R35" s="144"/>
    </row>
    <row r="36" spans="1:18">
      <c r="A36" s="4">
        <f t="shared" si="1"/>
        <v>25</v>
      </c>
      <c r="B36" s="144">
        <v>9120</v>
      </c>
      <c r="C36" s="6" t="s">
        <v>319</v>
      </c>
      <c r="D36" s="116">
        <v>38.650254846986918</v>
      </c>
      <c r="E36" s="116">
        <v>18.572292052638883</v>
      </c>
      <c r="F36" s="116">
        <v>63.788816213152323</v>
      </c>
      <c r="G36" s="116">
        <v>19.288525252759921</v>
      </c>
      <c r="H36" s="116">
        <v>19.232983573519306</v>
      </c>
      <c r="I36" s="116">
        <v>41.819864488598043</v>
      </c>
      <c r="J36" s="116">
        <v>18.23350459197534</v>
      </c>
      <c r="K36" s="116">
        <v>62.067406076610887</v>
      </c>
      <c r="L36" s="116">
        <v>95.356998486381315</v>
      </c>
      <c r="M36" s="116">
        <v>17.324040778489024</v>
      </c>
      <c r="N36" s="116">
        <v>25.040695521224976</v>
      </c>
      <c r="O36" s="116">
        <v>73.244114661732027</v>
      </c>
      <c r="P36" s="6">
        <f t="shared" si="0"/>
        <v>492.61949654406885</v>
      </c>
      <c r="Q36" s="6"/>
    </row>
    <row r="37" spans="1:18">
      <c r="A37" s="4">
        <f t="shared" si="1"/>
        <v>26</v>
      </c>
      <c r="B37" s="144">
        <v>9130</v>
      </c>
      <c r="C37" s="6" t="s">
        <v>320</v>
      </c>
      <c r="D37" s="116">
        <v>688.84836327600965</v>
      </c>
      <c r="E37" s="116">
        <v>331.0066915054685</v>
      </c>
      <c r="F37" s="116">
        <v>1136.883102522924</v>
      </c>
      <c r="G37" s="116">
        <v>343.77183547620166</v>
      </c>
      <c r="H37" s="116">
        <v>342.78193786776501</v>
      </c>
      <c r="I37" s="116">
        <v>745.33907523875087</v>
      </c>
      <c r="J37" s="116">
        <v>324.96861520557286</v>
      </c>
      <c r="K37" s="116">
        <v>1106.2030834705852</v>
      </c>
      <c r="L37" s="116">
        <v>1699.5104584511546</v>
      </c>
      <c r="M37" s="116">
        <v>308.7595976490523</v>
      </c>
      <c r="N37" s="116">
        <v>446.29051460014995</v>
      </c>
      <c r="O37" s="116">
        <v>1305.4011856863026</v>
      </c>
      <c r="P37" s="6">
        <f t="shared" si="0"/>
        <v>8779.7644609499366</v>
      </c>
      <c r="Q37" s="6"/>
      <c r="R37" s="144"/>
    </row>
    <row r="38" spans="1:18">
      <c r="A38" s="4">
        <f t="shared" si="1"/>
        <v>27</v>
      </c>
      <c r="B38" s="144">
        <v>9200</v>
      </c>
      <c r="C38" s="6" t="s">
        <v>321</v>
      </c>
      <c r="D38" s="116">
        <v>-2701.0030662781301</v>
      </c>
      <c r="E38" s="116">
        <v>571.36603325114288</v>
      </c>
      <c r="F38" s="116">
        <v>1356.2729072123088</v>
      </c>
      <c r="G38" s="116">
        <v>42.708168142004624</v>
      </c>
      <c r="H38" s="116">
        <v>-4687.5100222886695</v>
      </c>
      <c r="I38" s="116">
        <v>6168.4446094830464</v>
      </c>
      <c r="J38" s="116">
        <v>2090.3916893289288</v>
      </c>
      <c r="K38" s="116">
        <v>-9840.1927948807952</v>
      </c>
      <c r="L38" s="116">
        <v>201.99809256353538</v>
      </c>
      <c r="M38" s="116">
        <v>1319.3361131435481</v>
      </c>
      <c r="N38" s="116">
        <v>81.95351184006293</v>
      </c>
      <c r="O38" s="116">
        <v>-1052.6986309596814</v>
      </c>
      <c r="P38" s="6">
        <f t="shared" si="0"/>
        <v>-6448.9333894426991</v>
      </c>
      <c r="Q38" s="6"/>
      <c r="R38" s="144"/>
    </row>
    <row r="39" spans="1:18">
      <c r="A39" s="4">
        <f t="shared" si="1"/>
        <v>28</v>
      </c>
      <c r="B39" s="144">
        <v>9210</v>
      </c>
      <c r="C39" s="6" t="s">
        <v>322</v>
      </c>
      <c r="D39" s="116">
        <v>652.71895510959303</v>
      </c>
      <c r="E39" s="116">
        <v>653.56304290202218</v>
      </c>
      <c r="F39" s="116">
        <v>633.35714667020807</v>
      </c>
      <c r="G39" s="116">
        <v>994.87116696229782</v>
      </c>
      <c r="H39" s="116">
        <v>652.13282996501925</v>
      </c>
      <c r="I39" s="116">
        <v>749.66413721502727</v>
      </c>
      <c r="J39" s="116">
        <v>650.33386263195234</v>
      </c>
      <c r="K39" s="116">
        <v>695.48782963388658</v>
      </c>
      <c r="L39" s="116">
        <v>643.74142306234444</v>
      </c>
      <c r="M39" s="116">
        <v>671.82600988066474</v>
      </c>
      <c r="N39" s="116">
        <v>656.94360739210288</v>
      </c>
      <c r="O39" s="116">
        <v>641.62188354917589</v>
      </c>
      <c r="P39" s="6">
        <f t="shared" si="0"/>
        <v>8296.2618949742937</v>
      </c>
      <c r="Q39" s="6"/>
      <c r="R39" s="144"/>
    </row>
    <row r="40" spans="1:18">
      <c r="A40" s="4">
        <f t="shared" si="1"/>
        <v>29</v>
      </c>
      <c r="B40" s="144">
        <v>9220</v>
      </c>
      <c r="C40" s="6" t="s">
        <v>323</v>
      </c>
      <c r="D40" s="116">
        <f t="shared" ref="D40:O40" si="2">-(SUM(D12:D39,D41:D46))</f>
        <v>-972863.32668000006</v>
      </c>
      <c r="E40" s="116">
        <f t="shared" si="2"/>
        <v>-1078374.4869600004</v>
      </c>
      <c r="F40" s="116">
        <f t="shared" si="2"/>
        <v>-933385.05720000016</v>
      </c>
      <c r="G40" s="116">
        <f t="shared" si="2"/>
        <v>-1123912.0066600002</v>
      </c>
      <c r="H40" s="116">
        <f t="shared" si="2"/>
        <v>-949351.37966514239</v>
      </c>
      <c r="I40" s="116">
        <f t="shared" si="2"/>
        <v>-1032591.4530757616</v>
      </c>
      <c r="J40" s="116">
        <f t="shared" si="2"/>
        <v>-1046154.350403685</v>
      </c>
      <c r="K40" s="116">
        <f t="shared" si="2"/>
        <v>-1048069.1170257614</v>
      </c>
      <c r="L40" s="116">
        <f t="shared" si="2"/>
        <v>-1056668.9310457616</v>
      </c>
      <c r="M40" s="116">
        <f t="shared" si="2"/>
        <v>-1045633.9042636851</v>
      </c>
      <c r="N40" s="116">
        <f t="shared" si="2"/>
        <v>-998612.88045576145</v>
      </c>
      <c r="O40" s="116">
        <f t="shared" si="2"/>
        <v>-1079427.0387351424</v>
      </c>
      <c r="P40" s="6">
        <f t="shared" si="0"/>
        <v>-12365043.932170702</v>
      </c>
      <c r="Q40" s="6"/>
    </row>
    <row r="41" spans="1:18">
      <c r="A41" s="4">
        <f t="shared" si="1"/>
        <v>30</v>
      </c>
      <c r="B41" s="144">
        <v>9230</v>
      </c>
      <c r="C41" s="6" t="s">
        <v>324</v>
      </c>
      <c r="D41" s="116">
        <v>15584.816968463116</v>
      </c>
      <c r="E41" s="116">
        <v>15577.063622402406</v>
      </c>
      <c r="F41" s="116">
        <v>15404.029492285908</v>
      </c>
      <c r="G41" s="116">
        <v>25851.105437446378</v>
      </c>
      <c r="H41" s="116">
        <v>15430.160048711428</v>
      </c>
      <c r="I41" s="116">
        <v>14651.152353422915</v>
      </c>
      <c r="J41" s="116">
        <v>16042.360262033562</v>
      </c>
      <c r="K41" s="116">
        <v>15779.729789946392</v>
      </c>
      <c r="L41" s="116">
        <v>16284.024839064059</v>
      </c>
      <c r="M41" s="116">
        <v>16475.826950086463</v>
      </c>
      <c r="N41" s="116">
        <v>15426.255726518179</v>
      </c>
      <c r="O41" s="116">
        <v>15249.638974737793</v>
      </c>
      <c r="P41" s="6">
        <f t="shared" si="0"/>
        <v>197756.16446511858</v>
      </c>
      <c r="Q41" s="6"/>
    </row>
    <row r="42" spans="1:18">
      <c r="A42" s="4">
        <f t="shared" si="1"/>
        <v>31</v>
      </c>
      <c r="B42" s="144">
        <v>9240</v>
      </c>
      <c r="C42" s="6" t="s">
        <v>325</v>
      </c>
      <c r="D42" s="116">
        <v>-7357.8279216975743</v>
      </c>
      <c r="E42" s="116">
        <v>-7388.3632326259285</v>
      </c>
      <c r="F42" s="116">
        <v>-7355.8579016376807</v>
      </c>
      <c r="G42" s="116">
        <v>-7357.8279216975743</v>
      </c>
      <c r="H42" s="116">
        <v>-6911.2243741196362</v>
      </c>
      <c r="I42" s="116">
        <v>-7030.016583731237</v>
      </c>
      <c r="J42" s="116">
        <v>-6899.7982577722532</v>
      </c>
      <c r="K42" s="116">
        <v>-6999.0872687909032</v>
      </c>
      <c r="L42" s="116">
        <v>-7021.7424994796829</v>
      </c>
      <c r="M42" s="116">
        <v>-7403.7293890931014</v>
      </c>
      <c r="N42" s="116">
        <v>-7370.0420460689156</v>
      </c>
      <c r="O42" s="116">
        <v>-7357.8279216975743</v>
      </c>
      <c r="P42" s="6">
        <f t="shared" si="0"/>
        <v>-86453.345318412074</v>
      </c>
      <c r="Q42" s="6"/>
      <c r="R42" s="144"/>
    </row>
    <row r="43" spans="1:18">
      <c r="A43" s="4">
        <f t="shared" si="1"/>
        <v>32</v>
      </c>
      <c r="B43" s="144">
        <v>9250</v>
      </c>
      <c r="C43" s="6" t="s">
        <v>326</v>
      </c>
      <c r="D43" s="116">
        <v>58920.693322476109</v>
      </c>
      <c r="E43" s="116">
        <v>57547.749242295475</v>
      </c>
      <c r="F43" s="116">
        <v>60364.234722746529</v>
      </c>
      <c r="G43" s="116">
        <v>58915.398410623719</v>
      </c>
      <c r="H43" s="116">
        <v>68022.118383068577</v>
      </c>
      <c r="I43" s="116">
        <v>65942.828491783832</v>
      </c>
      <c r="J43" s="116">
        <v>70353.09059018307</v>
      </c>
      <c r="K43" s="116">
        <v>65872.214218386143</v>
      </c>
      <c r="L43" s="116">
        <v>65923.959551953129</v>
      </c>
      <c r="M43" s="116">
        <v>71519.396939153885</v>
      </c>
      <c r="N43" s="116">
        <v>66729.462675994248</v>
      </c>
      <c r="O43" s="116">
        <v>69058.675360902416</v>
      </c>
      <c r="P43" s="6">
        <f t="shared" si="0"/>
        <v>779169.82190956722</v>
      </c>
      <c r="Q43" s="6"/>
      <c r="R43" s="144"/>
    </row>
    <row r="44" spans="1:18">
      <c r="A44" s="4">
        <f t="shared" si="1"/>
        <v>33</v>
      </c>
      <c r="B44" s="256">
        <v>9260</v>
      </c>
      <c r="C44" s="6" t="s">
        <v>327</v>
      </c>
      <c r="D44" s="116">
        <v>153607.92336360647</v>
      </c>
      <c r="E44" s="116">
        <v>291981.47924082557</v>
      </c>
      <c r="F44" s="116">
        <v>84671.618999420098</v>
      </c>
      <c r="G44" s="116">
        <v>82942.84796356436</v>
      </c>
      <c r="H44" s="116">
        <v>165448.28342849249</v>
      </c>
      <c r="I44" s="116">
        <v>182485.35701534463</v>
      </c>
      <c r="J44" s="116">
        <v>196065.89634939437</v>
      </c>
      <c r="K44" s="116">
        <v>198225.67020314772</v>
      </c>
      <c r="L44" s="116">
        <v>187032.121533428</v>
      </c>
      <c r="M44" s="116">
        <v>186303.39270350596</v>
      </c>
      <c r="N44" s="116">
        <v>170800.6912239065</v>
      </c>
      <c r="O44" s="116">
        <v>202585.64212821223</v>
      </c>
      <c r="P44" s="6">
        <f t="shared" si="0"/>
        <v>2102150.9241528488</v>
      </c>
      <c r="Q44" s="6"/>
      <c r="R44" s="144"/>
    </row>
    <row r="45" spans="1:18">
      <c r="A45" s="4">
        <f t="shared" si="1"/>
        <v>34</v>
      </c>
      <c r="B45" s="144">
        <v>9302</v>
      </c>
      <c r="C45" s="6" t="s">
        <v>330</v>
      </c>
      <c r="D45" s="116">
        <v>11715.779497880436</v>
      </c>
      <c r="E45" s="116">
        <v>9485.8724613470367</v>
      </c>
      <c r="F45" s="116">
        <v>21494.622270839907</v>
      </c>
      <c r="G45" s="116">
        <v>18198.918330529603</v>
      </c>
      <c r="H45" s="116">
        <v>11737.433062865735</v>
      </c>
      <c r="I45" s="116">
        <v>12127.970059160927</v>
      </c>
      <c r="J45" s="116">
        <v>19055.595601028941</v>
      </c>
      <c r="K45" s="116">
        <v>6224.086290409844</v>
      </c>
      <c r="L45" s="116">
        <v>8793.8826905976894</v>
      </c>
      <c r="M45" s="116">
        <v>6113.4245529495875</v>
      </c>
      <c r="N45" s="116">
        <v>13628.667740166695</v>
      </c>
      <c r="O45" s="116">
        <v>11732.629879434166</v>
      </c>
      <c r="P45" s="6">
        <f t="shared" si="0"/>
        <v>150308.88243721056</v>
      </c>
      <c r="Q45" s="6"/>
      <c r="R45" s="144"/>
    </row>
    <row r="46" spans="1:18">
      <c r="A46" s="4">
        <f t="shared" si="1"/>
        <v>35</v>
      </c>
      <c r="B46" s="144">
        <v>9310</v>
      </c>
      <c r="C46" s="6" t="s">
        <v>209</v>
      </c>
      <c r="D46" s="116">
        <v>6.8877243192652999</v>
      </c>
      <c r="E46" s="116">
        <v>6.7909237423827946</v>
      </c>
      <c r="F46" s="116">
        <v>6.8651012630950063</v>
      </c>
      <c r="G46" s="116">
        <v>6.6690985849057665</v>
      </c>
      <c r="H46" s="116">
        <v>6.4489675471933596</v>
      </c>
      <c r="I46" s="116">
        <v>6.5214048328155494</v>
      </c>
      <c r="J46" s="116">
        <v>7.0539167703624557</v>
      </c>
      <c r="K46" s="116">
        <v>7.4704855450366079</v>
      </c>
      <c r="L46" s="116">
        <v>7.6410285838588194</v>
      </c>
      <c r="M46" s="116">
        <v>7.7765493914943269</v>
      </c>
      <c r="N46" s="116">
        <v>7.8326719731475549</v>
      </c>
      <c r="O46" s="116">
        <v>7.1613762871713487</v>
      </c>
      <c r="P46" s="6">
        <f t="shared" si="0"/>
        <v>85.119248840728886</v>
      </c>
      <c r="Q46" s="6"/>
    </row>
    <row r="47" spans="1:18">
      <c r="A47" s="4">
        <f t="shared" si="1"/>
        <v>36</v>
      </c>
      <c r="B47" s="6"/>
      <c r="C47" s="242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9"/>
      <c r="O47" s="6"/>
      <c r="P47" s="6"/>
      <c r="Q47" s="79"/>
    </row>
    <row r="48" spans="1:18" ht="15.75" thickBot="1">
      <c r="A48" s="4">
        <f t="shared" si="1"/>
        <v>37</v>
      </c>
      <c r="B48" s="6" t="s">
        <v>332</v>
      </c>
      <c r="C48" s="242"/>
      <c r="D48" s="230">
        <f t="shared" ref="D48:P48" si="3">SUM(D12:D47)</f>
        <v>-5.6632920575339085E-11</v>
      </c>
      <c r="E48" s="230">
        <f t="shared" si="3"/>
        <v>-1.255173742720217E-10</v>
      </c>
      <c r="F48" s="230">
        <f t="shared" si="3"/>
        <v>1.0246736792396405E-10</v>
      </c>
      <c r="G48" s="230">
        <f t="shared" si="3"/>
        <v>-7.9710460454407439E-11</v>
      </c>
      <c r="H48" s="230">
        <f t="shared" si="3"/>
        <v>2.4710011814477184E-11</v>
      </c>
      <c r="I48" s="230">
        <f t="shared" si="3"/>
        <v>-2.0647483722768811E-11</v>
      </c>
      <c r="J48" s="230">
        <f t="shared" si="3"/>
        <v>4.1517012050462654E-11</v>
      </c>
      <c r="K48" s="230">
        <f t="shared" si="3"/>
        <v>2.4127011499786022E-10</v>
      </c>
      <c r="L48" s="230">
        <f t="shared" si="3"/>
        <v>9.6001429028547136E-11</v>
      </c>
      <c r="M48" s="230">
        <f t="shared" si="3"/>
        <v>-6.9215744247230759E-12</v>
      </c>
      <c r="N48" s="230">
        <f t="shared" si="3"/>
        <v>4.4764192352886312E-12</v>
      </c>
      <c r="O48" s="230">
        <f t="shared" si="3"/>
        <v>-1.9443469057023322E-10</v>
      </c>
      <c r="P48" s="230">
        <f t="shared" si="3"/>
        <v>2.1284165541146649E-9</v>
      </c>
      <c r="Q48" s="6"/>
    </row>
    <row r="49" spans="1:17" ht="15.75" thickTop="1">
      <c r="A49" s="4">
        <f t="shared" si="1"/>
        <v>38</v>
      </c>
      <c r="B49" s="6"/>
      <c r="C49" s="242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  <c r="O49" s="6"/>
      <c r="P49" s="6"/>
      <c r="Q49" s="6"/>
    </row>
    <row r="50" spans="1:17">
      <c r="A50" s="4">
        <f t="shared" si="1"/>
        <v>39</v>
      </c>
      <c r="B50" s="144">
        <f t="shared" ref="B50:O50" si="4">B40</f>
        <v>9220</v>
      </c>
      <c r="C50" s="6" t="str">
        <f t="shared" si="4"/>
        <v>A&amp;G-Administrative expense transferred-Credit</v>
      </c>
      <c r="D50" s="6">
        <f t="shared" si="4"/>
        <v>-972863.32668000006</v>
      </c>
      <c r="E50" s="6">
        <f t="shared" si="4"/>
        <v>-1078374.4869600004</v>
      </c>
      <c r="F50" s="6">
        <f t="shared" si="4"/>
        <v>-933385.05720000016</v>
      </c>
      <c r="G50" s="6">
        <f t="shared" si="4"/>
        <v>-1123912.0066600002</v>
      </c>
      <c r="H50" s="6">
        <f t="shared" si="4"/>
        <v>-949351.37966514239</v>
      </c>
      <c r="I50" s="6">
        <f t="shared" si="4"/>
        <v>-1032591.4530757616</v>
      </c>
      <c r="J50" s="6">
        <f t="shared" si="4"/>
        <v>-1046154.350403685</v>
      </c>
      <c r="K50" s="6">
        <f t="shared" si="4"/>
        <v>-1048069.1170257614</v>
      </c>
      <c r="L50" s="6">
        <f t="shared" si="4"/>
        <v>-1056668.9310457616</v>
      </c>
      <c r="M50" s="6">
        <f t="shared" si="4"/>
        <v>-1045633.9042636851</v>
      </c>
      <c r="N50" s="6">
        <f t="shared" si="4"/>
        <v>-998612.88045576145</v>
      </c>
      <c r="O50" s="6">
        <f t="shared" si="4"/>
        <v>-1079427.0387351424</v>
      </c>
      <c r="P50" s="6">
        <f>SUM(D50:O50)</f>
        <v>-12365043.932170702</v>
      </c>
      <c r="Q50" s="6"/>
    </row>
    <row r="51" spans="1:17">
      <c r="A51" s="4">
        <f t="shared" si="1"/>
        <v>40</v>
      </c>
      <c r="B51" s="6"/>
      <c r="C51" s="6" t="s">
        <v>341</v>
      </c>
      <c r="D51" s="280">
        <v>0.49090457251500325</v>
      </c>
      <c r="E51" s="280">
        <f>D51</f>
        <v>0.49090457251500325</v>
      </c>
      <c r="F51" s="280">
        <f t="shared" ref="F51:O51" si="5">E51</f>
        <v>0.49090457251500325</v>
      </c>
      <c r="G51" s="280">
        <f t="shared" si="5"/>
        <v>0.49090457251500325</v>
      </c>
      <c r="H51" s="280">
        <f t="shared" si="5"/>
        <v>0.49090457251500325</v>
      </c>
      <c r="I51" s="280">
        <f t="shared" si="5"/>
        <v>0.49090457251500325</v>
      </c>
      <c r="J51" s="280">
        <f t="shared" si="5"/>
        <v>0.49090457251500325</v>
      </c>
      <c r="K51" s="280">
        <f t="shared" si="5"/>
        <v>0.49090457251500325</v>
      </c>
      <c r="L51" s="280">
        <f t="shared" si="5"/>
        <v>0.49090457251500325</v>
      </c>
      <c r="M51" s="280">
        <f t="shared" si="5"/>
        <v>0.49090457251500325</v>
      </c>
      <c r="N51" s="280">
        <f t="shared" si="5"/>
        <v>0.49090457251500325</v>
      </c>
      <c r="O51" s="280">
        <f t="shared" si="5"/>
        <v>0.49090457251500325</v>
      </c>
      <c r="P51" s="281">
        <f>P52/P50</f>
        <v>0.49090457251500325</v>
      </c>
      <c r="Q51" s="6"/>
    </row>
    <row r="52" spans="1:17">
      <c r="A52" s="4">
        <f t="shared" si="1"/>
        <v>41</v>
      </c>
      <c r="B52" s="6"/>
      <c r="C52" s="6" t="s">
        <v>342</v>
      </c>
      <c r="D52" s="6">
        <f>D50*D51</f>
        <v>-477583.05549936939</v>
      </c>
      <c r="E52" s="6">
        <f t="shared" ref="E52:O52" si="6">E50*E51</f>
        <v>-529378.96653218498</v>
      </c>
      <c r="F52" s="6">
        <f t="shared" si="6"/>
        <v>-458202.99249665794</v>
      </c>
      <c r="G52" s="6">
        <f t="shared" si="6"/>
        <v>-551733.54317390686</v>
      </c>
      <c r="H52" s="6">
        <f t="shared" si="6"/>
        <v>-466040.93320104526</v>
      </c>
      <c r="I52" s="6">
        <f t="shared" si="6"/>
        <v>-506903.86585480277</v>
      </c>
      <c r="J52" s="6">
        <f t="shared" si="6"/>
        <v>-513561.95416963188</v>
      </c>
      <c r="K52" s="6">
        <f t="shared" si="6"/>
        <v>-514501.92185970832</v>
      </c>
      <c r="L52" s="6">
        <f t="shared" si="6"/>
        <v>-518723.60988490505</v>
      </c>
      <c r="M52" s="6">
        <f t="shared" si="6"/>
        <v>-513306.46477975819</v>
      </c>
      <c r="N52" s="6">
        <f t="shared" si="6"/>
        <v>-490223.62918811163</v>
      </c>
      <c r="O52" s="6">
        <f t="shared" si="6"/>
        <v>-529895.66901141091</v>
      </c>
      <c r="P52" s="6">
        <f>SUM(D52:O52)</f>
        <v>-6070056.6056514932</v>
      </c>
      <c r="Q52" s="6"/>
    </row>
    <row r="53" spans="1:17">
      <c r="A53" s="6"/>
      <c r="B53" s="6"/>
      <c r="C53" s="242"/>
      <c r="D53" s="282"/>
      <c r="E53" s="6"/>
      <c r="F53" s="6"/>
      <c r="G53" s="6"/>
      <c r="H53" s="6"/>
      <c r="I53" s="6"/>
      <c r="J53" s="99"/>
      <c r="K53" s="99"/>
      <c r="L53" s="99"/>
      <c r="M53" s="99"/>
      <c r="N53" s="190"/>
      <c r="O53" s="99"/>
      <c r="P53" s="99"/>
      <c r="Q53" s="6"/>
    </row>
    <row r="54" spans="1:17">
      <c r="A54" s="6"/>
      <c r="B54" s="6"/>
      <c r="C54" s="242"/>
      <c r="D54" s="6"/>
      <c r="E54" s="6"/>
      <c r="F54" s="6"/>
      <c r="G54" s="6"/>
      <c r="H54" s="6"/>
      <c r="I54" s="6"/>
      <c r="J54" s="6"/>
      <c r="K54" s="6"/>
      <c r="L54" s="6"/>
      <c r="M54" s="6"/>
      <c r="N54" s="190"/>
      <c r="O54" s="99"/>
      <c r="P54" s="6"/>
      <c r="Q54" s="6"/>
    </row>
    <row r="55" spans="1:17">
      <c r="A55" s="6"/>
      <c r="B55" s="6" t="s">
        <v>343</v>
      </c>
      <c r="C55" s="242"/>
      <c r="D55" s="6"/>
      <c r="E55" s="6"/>
      <c r="F55" s="6"/>
      <c r="G55" s="6"/>
      <c r="H55" s="6"/>
      <c r="I55" s="6"/>
      <c r="J55" s="6"/>
      <c r="K55" s="6"/>
      <c r="L55" s="6"/>
      <c r="M55" s="6"/>
      <c r="N55" s="190"/>
      <c r="O55" s="99"/>
      <c r="P55" s="6"/>
      <c r="Q55" s="6"/>
    </row>
    <row r="56" spans="1:17">
      <c r="A56" s="6"/>
      <c r="B56" s="6"/>
      <c r="C56" s="242"/>
      <c r="D56" s="6"/>
      <c r="E56" s="6"/>
      <c r="F56" s="6"/>
      <c r="G56" s="6"/>
      <c r="H56" s="6"/>
      <c r="I56" s="6"/>
      <c r="J56" s="6"/>
      <c r="K56" s="6"/>
      <c r="L56" s="6"/>
      <c r="M56" s="6"/>
      <c r="N56" s="190"/>
      <c r="O56" s="99"/>
      <c r="P56" s="6"/>
      <c r="Q56" s="6"/>
    </row>
    <row r="57" spans="1:17">
      <c r="A57" s="6"/>
      <c r="B57" s="6"/>
      <c r="C57" s="12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</row>
    <row r="60" spans="1:17">
      <c r="A60" s="6"/>
      <c r="B60" s="6" t="s">
        <v>335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6"/>
      <c r="P60" s="6"/>
      <c r="Q60" s="6"/>
    </row>
    <row r="61" spans="1:17">
      <c r="A61" s="6"/>
      <c r="B61" s="6" t="s">
        <v>337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246"/>
      <c r="P61" s="5"/>
      <c r="Q61" s="6"/>
    </row>
    <row r="62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195"/>
      <c r="P62" s="5"/>
      <c r="Q62" s="6"/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195"/>
      <c r="P63" s="5"/>
      <c r="Q63" s="6"/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6"/>
      <c r="P64" s="6"/>
      <c r="Q64" s="6"/>
    </row>
    <row r="65" spans="1:17">
      <c r="A65" s="6"/>
      <c r="Q65" s="6"/>
    </row>
    <row r="66" spans="1:17">
      <c r="A66" s="6"/>
      <c r="Q66" s="6"/>
    </row>
    <row r="67" spans="1:17">
      <c r="Q67" s="6"/>
    </row>
    <row r="68" spans="1:17">
      <c r="Q68" s="6"/>
    </row>
    <row r="69" spans="1:17">
      <c r="Q69" s="6"/>
    </row>
    <row r="70" spans="1:17">
      <c r="Q70" s="6"/>
    </row>
    <row r="71" spans="1:17">
      <c r="Q71" s="6"/>
    </row>
    <row r="72" spans="1:17">
      <c r="Q72" s="6"/>
    </row>
    <row r="73" spans="1:17">
      <c r="Q73" s="6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" header="0.25" footer="0.25"/>
  <pageSetup scale="50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view="pageBreakPreview" zoomScale="60" zoomScaleNormal="70" workbookViewId="0">
      <pane xSplit="2" ySplit="10" topLeftCell="C11" activePane="bottomRight" state="frozen"/>
      <selection activeCell="C19" sqref="C19"/>
      <selection pane="topRight" activeCell="C19" sqref="C19"/>
      <selection pane="bottomLeft" activeCell="C19" sqref="C19"/>
      <selection pane="bottomRight" activeCell="C11" sqref="C11"/>
    </sheetView>
  </sheetViews>
  <sheetFormatPr defaultRowHeight="15"/>
  <cols>
    <col min="1" max="1" width="4.6640625" style="6" customWidth="1"/>
    <col min="2" max="2" width="40.6640625" style="6" customWidth="1"/>
    <col min="3" max="14" width="11" style="6" customWidth="1"/>
    <col min="15" max="15" width="13.77734375" style="6" customWidth="1"/>
    <col min="16" max="16" width="9.77734375" style="6" bestFit="1" customWidth="1"/>
    <col min="17" max="17" width="11.44140625" style="6" bestFit="1" customWidth="1"/>
    <col min="18" max="16384" width="8.88671875" style="6"/>
  </cols>
  <sheetData>
    <row r="1" spans="1:24" s="194" customFormat="1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6"/>
      <c r="Q1" s="6"/>
      <c r="R1" s="6"/>
      <c r="S1" s="6"/>
      <c r="T1" s="6"/>
      <c r="U1" s="6"/>
      <c r="V1" s="6"/>
      <c r="W1" s="6"/>
      <c r="X1" s="6"/>
    </row>
    <row r="2" spans="1:24" s="194" customFormat="1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6"/>
      <c r="Q2" s="6"/>
      <c r="R2" s="6"/>
      <c r="S2" s="6"/>
      <c r="T2" s="6"/>
      <c r="U2" s="6"/>
      <c r="V2" s="6"/>
      <c r="W2" s="6"/>
      <c r="X2" s="6"/>
    </row>
    <row r="3" spans="1:24" s="194" customFormat="1">
      <c r="A3" s="310" t="s">
        <v>358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6"/>
      <c r="Q3" s="6"/>
      <c r="R3" s="6"/>
      <c r="S3" s="6"/>
      <c r="T3" s="6"/>
      <c r="U3" s="6"/>
      <c r="V3" s="6"/>
      <c r="W3" s="6"/>
      <c r="X3" s="6"/>
    </row>
    <row r="4" spans="1:24" s="194" customFormat="1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6"/>
      <c r="Q4" s="213"/>
      <c r="R4" s="6"/>
      <c r="S4" s="6"/>
      <c r="T4" s="6"/>
      <c r="U4" s="6"/>
      <c r="V4" s="6"/>
      <c r="W4" s="6"/>
      <c r="X4" s="6"/>
    </row>
    <row r="5" spans="1:24" s="194" customFormat="1">
      <c r="A5" s="5"/>
      <c r="B5" s="249"/>
      <c r="C5" s="249"/>
      <c r="D5" s="158"/>
      <c r="E5" s="158"/>
      <c r="F5" s="236"/>
      <c r="G5" s="158"/>
      <c r="H5" s="158"/>
      <c r="I5" s="158"/>
      <c r="J5" s="79"/>
      <c r="K5" s="213"/>
      <c r="L5" s="6"/>
      <c r="M5" s="6"/>
      <c r="N5" s="6"/>
      <c r="O5" s="6"/>
      <c r="P5" s="6"/>
      <c r="Q5" s="283"/>
      <c r="R5" s="6"/>
      <c r="S5" s="6"/>
      <c r="T5" s="6"/>
      <c r="U5" s="6"/>
      <c r="V5" s="6"/>
      <c r="W5" s="6"/>
      <c r="X5" s="6"/>
    </row>
    <row r="6" spans="1:24" s="194" customFormat="1">
      <c r="A6" s="284" t="str">
        <f>'C.2.1 B'!A6</f>
        <v>Data:___X____Base Period________Forecasted Period</v>
      </c>
      <c r="B6" s="5"/>
      <c r="C6" s="5"/>
      <c r="D6" s="6"/>
      <c r="E6" s="6"/>
      <c r="F6" s="6"/>
      <c r="G6" s="6"/>
      <c r="H6" s="6"/>
      <c r="I6" s="158"/>
      <c r="J6" s="6"/>
      <c r="K6" s="6"/>
      <c r="L6" s="6"/>
      <c r="M6" s="190"/>
      <c r="N6" s="6"/>
      <c r="O6" s="12" t="s">
        <v>359</v>
      </c>
      <c r="P6" s="6"/>
      <c r="Q6" s="6"/>
      <c r="R6" s="6"/>
      <c r="S6" s="6"/>
      <c r="T6" s="6"/>
      <c r="U6" s="6"/>
      <c r="V6" s="6"/>
      <c r="W6" s="6"/>
      <c r="X6" s="6"/>
    </row>
    <row r="7" spans="1:24" s="194" customFormat="1">
      <c r="A7" s="284" t="str">
        <f>'C.2.1 B'!A7</f>
        <v>Type of Filing:___X____Original________Updated ________Revised</v>
      </c>
      <c r="B7" s="5"/>
      <c r="C7" s="5"/>
      <c r="D7" s="6"/>
      <c r="E7" s="79"/>
      <c r="F7" s="6"/>
      <c r="G7" s="6"/>
      <c r="H7" s="6"/>
      <c r="I7" s="158"/>
      <c r="J7" s="79"/>
      <c r="K7" s="6"/>
      <c r="L7" s="6"/>
      <c r="M7" s="190"/>
      <c r="N7" s="57"/>
      <c r="O7" s="58" t="s">
        <v>360</v>
      </c>
      <c r="P7" s="6"/>
      <c r="Q7" s="6"/>
      <c r="R7" s="6"/>
      <c r="S7" s="6"/>
      <c r="T7" s="6"/>
      <c r="U7" s="6"/>
      <c r="V7" s="6"/>
      <c r="W7" s="6"/>
      <c r="X7" s="6"/>
    </row>
    <row r="8" spans="1:24" s="194" customFormat="1">
      <c r="A8" s="285" t="str">
        <f>'C.2.1 B'!A8</f>
        <v>Workpaper Reference No(s).____________________</v>
      </c>
      <c r="B8" s="270"/>
      <c r="C8" s="286"/>
      <c r="D8" s="15"/>
      <c r="E8" s="15"/>
      <c r="F8" s="15"/>
      <c r="G8" s="15"/>
      <c r="H8" s="15"/>
      <c r="I8" s="158"/>
      <c r="J8" s="15"/>
      <c r="K8" s="3"/>
      <c r="L8" s="3"/>
      <c r="M8" s="270"/>
      <c r="N8" s="60"/>
      <c r="O8" s="61" t="s">
        <v>361</v>
      </c>
      <c r="P8" s="6"/>
      <c r="Q8" s="6"/>
      <c r="R8" s="6"/>
      <c r="S8" s="6"/>
      <c r="T8" s="6"/>
      <c r="U8" s="6"/>
      <c r="V8" s="6"/>
      <c r="W8" s="6"/>
      <c r="X8" s="6"/>
    </row>
    <row r="9" spans="1:24" s="194" customFormat="1">
      <c r="A9" s="287" t="s">
        <v>21</v>
      </c>
      <c r="B9" s="5"/>
      <c r="C9" s="156" t="str">
        <f>'C.2.2 B 09'!D9</f>
        <v>actual</v>
      </c>
      <c r="D9" s="63" t="str">
        <f>'C.2.2 B 09'!E9</f>
        <v>actual</v>
      </c>
      <c r="E9" s="63" t="str">
        <f>'C.2.2 B 09'!F9</f>
        <v>actual</v>
      </c>
      <c r="F9" s="63" t="str">
        <f>'C.2.2 B 09'!G9</f>
        <v>actual</v>
      </c>
      <c r="G9" s="63" t="str">
        <f>'C.2.2 B 09'!H9</f>
        <v>actual</v>
      </c>
      <c r="H9" s="63" t="str">
        <f>'C.2.2 B 09'!I9</f>
        <v>actual</v>
      </c>
      <c r="I9" s="288" t="str">
        <f>'C.2.2 B 09'!J9</f>
        <v>Forecasted</v>
      </c>
      <c r="J9" s="63" t="str">
        <f>'C.2.2 B 09'!K9</f>
        <v>Budgeted</v>
      </c>
      <c r="K9" s="63" t="str">
        <f>'C.2.2 B 09'!L9</f>
        <v>Budgeted</v>
      </c>
      <c r="L9" s="63" t="str">
        <f>'C.2.2 B 09'!M9</f>
        <v>Budgeted</v>
      </c>
      <c r="M9" s="63" t="str">
        <f>'C.2.2 B 09'!N9</f>
        <v>Budgeted</v>
      </c>
      <c r="N9" s="63" t="str">
        <f>'C.2.2 B 09'!O9</f>
        <v>Budgeted</v>
      </c>
      <c r="O9" s="239"/>
      <c r="P9" s="6"/>
      <c r="Q9" s="6"/>
      <c r="R9" s="6"/>
      <c r="S9" s="6"/>
      <c r="T9" s="6"/>
      <c r="U9" s="6"/>
      <c r="V9" s="6"/>
      <c r="W9" s="6"/>
      <c r="X9" s="6"/>
    </row>
    <row r="10" spans="1:24" s="194" customFormat="1">
      <c r="A10" s="289" t="s">
        <v>24</v>
      </c>
      <c r="B10" s="290" t="s">
        <v>362</v>
      </c>
      <c r="C10" s="240">
        <f>'C.2.2 B 09'!D10</f>
        <v>42094</v>
      </c>
      <c r="D10" s="240">
        <f>'C.2.2 B 09'!E10</f>
        <v>42095</v>
      </c>
      <c r="E10" s="240">
        <f>'C.2.2 B 09'!F10</f>
        <v>42155</v>
      </c>
      <c r="F10" s="240">
        <f>'C.2.2 B 09'!G10</f>
        <v>42185</v>
      </c>
      <c r="G10" s="240">
        <f>'C.2.2 B 09'!H10</f>
        <v>42216</v>
      </c>
      <c r="H10" s="240">
        <f>'C.2.2 B 09'!I10</f>
        <v>42247</v>
      </c>
      <c r="I10" s="240">
        <f>'C.2.2 B 09'!J10</f>
        <v>42277</v>
      </c>
      <c r="J10" s="240">
        <f>'C.2.2 B 09'!K10</f>
        <v>42308</v>
      </c>
      <c r="K10" s="240">
        <f>'C.2.2 B 09'!L10</f>
        <v>42338</v>
      </c>
      <c r="L10" s="240">
        <f>'C.2.2 B 09'!M10</f>
        <v>42369</v>
      </c>
      <c r="M10" s="240">
        <f>'C.2.2 B 09'!N10</f>
        <v>42400</v>
      </c>
      <c r="N10" s="240">
        <f>'C.2.2 B 09'!O10</f>
        <v>42429</v>
      </c>
      <c r="O10" s="240" t="str">
        <f>'C.2.2 B 09'!P10</f>
        <v>Total</v>
      </c>
      <c r="P10" s="210"/>
      <c r="Q10" s="6"/>
      <c r="R10" s="6"/>
      <c r="S10" s="6"/>
      <c r="T10" s="6"/>
      <c r="U10" s="6"/>
      <c r="V10" s="6"/>
      <c r="W10" s="6"/>
      <c r="X10" s="6"/>
    </row>
    <row r="11" spans="1:24" ht="15.75">
      <c r="A11" s="5"/>
      <c r="B11" s="291" t="s">
        <v>363</v>
      </c>
      <c r="C11" s="68"/>
      <c r="D11" s="17"/>
      <c r="E11" s="17"/>
      <c r="F11" s="17"/>
      <c r="G11" s="17"/>
      <c r="H11" s="68"/>
      <c r="I11" s="17"/>
      <c r="J11" s="17"/>
      <c r="K11" s="17"/>
      <c r="L11" s="17"/>
      <c r="M11" s="17"/>
      <c r="N11" s="17"/>
      <c r="O11" s="17"/>
    </row>
    <row r="12" spans="1:24">
      <c r="A12" s="4">
        <v>1</v>
      </c>
      <c r="B12" s="6" t="s">
        <v>364</v>
      </c>
      <c r="C12" s="292">
        <v>30159.9</v>
      </c>
      <c r="D12" s="292">
        <v>18101.73</v>
      </c>
      <c r="E12" s="292">
        <v>50135.78</v>
      </c>
      <c r="F12" s="292">
        <v>14663.859999999995</v>
      </c>
      <c r="G12" s="292">
        <v>18263.189999999999</v>
      </c>
      <c r="H12" s="292">
        <v>19091.560000000001</v>
      </c>
      <c r="I12" s="292">
        <v>19008.678194129516</v>
      </c>
      <c r="J12" s="292">
        <v>56083.21688743015</v>
      </c>
      <c r="K12" s="292">
        <v>54996.039566527754</v>
      </c>
      <c r="L12" s="292">
        <v>20426.389279262308</v>
      </c>
      <c r="M12" s="292">
        <v>52700.223722204566</v>
      </c>
      <c r="N12" s="292">
        <v>32202.152421783856</v>
      </c>
      <c r="O12" s="173">
        <f>SUM(C12:N12)</f>
        <v>385832.72007133806</v>
      </c>
      <c r="P12" s="293"/>
      <c r="Q12" s="213"/>
      <c r="R12" s="79"/>
    </row>
    <row r="13" spans="1:24">
      <c r="A13" s="4">
        <f>A12+1</f>
        <v>2</v>
      </c>
      <c r="B13" s="6" t="s">
        <v>365</v>
      </c>
      <c r="C13" s="292">
        <v>-234.72000000000003</v>
      </c>
      <c r="D13" s="292">
        <v>-81.75</v>
      </c>
      <c r="E13" s="292">
        <v>9.1900000000000031</v>
      </c>
      <c r="F13" s="292">
        <v>11.42</v>
      </c>
      <c r="G13" s="292">
        <v>2.0100000000000007</v>
      </c>
      <c r="H13" s="292">
        <v>0.96000000000000041</v>
      </c>
      <c r="I13" s="292">
        <v>-37.013688809733132</v>
      </c>
      <c r="J13" s="292">
        <v>-109.20521227831598</v>
      </c>
      <c r="K13" s="292">
        <v>-107.08826113495304</v>
      </c>
      <c r="L13" s="292">
        <v>-39.77425513587675</v>
      </c>
      <c r="M13" s="292">
        <v>-102.61784965455475</v>
      </c>
      <c r="N13" s="292">
        <v>-62.70401532241231</v>
      </c>
      <c r="O13" s="6">
        <f t="shared" ref="O13:O22" si="0">SUM(C13:N13)</f>
        <v>-751.29328233584602</v>
      </c>
      <c r="P13" s="293"/>
    </row>
    <row r="14" spans="1:24">
      <c r="A14" s="4">
        <f t="shared" ref="A14:A67" si="1">A13+1</f>
        <v>3</v>
      </c>
      <c r="B14" s="6" t="s">
        <v>366</v>
      </c>
      <c r="C14" s="292">
        <v>1801.41</v>
      </c>
      <c r="D14" s="292">
        <v>-873.84999999999991</v>
      </c>
      <c r="E14" s="292">
        <v>-11.569999999999997</v>
      </c>
      <c r="F14" s="292">
        <v>27.549999999999997</v>
      </c>
      <c r="G14" s="292">
        <v>9.6100000000000012</v>
      </c>
      <c r="H14" s="292">
        <v>6.9799999999999995</v>
      </c>
      <c r="I14" s="292">
        <v>121.33549468021808</v>
      </c>
      <c r="J14" s="292">
        <v>357.9883248481666</v>
      </c>
      <c r="K14" s="292">
        <v>351.0486946071988</v>
      </c>
      <c r="L14" s="292">
        <v>130.38497587356801</v>
      </c>
      <c r="M14" s="292">
        <v>336.39412744999021</v>
      </c>
      <c r="N14" s="292">
        <v>205.5515935385562</v>
      </c>
      <c r="O14" s="6">
        <f t="shared" si="0"/>
        <v>2462.8332109976977</v>
      </c>
      <c r="P14" s="293"/>
    </row>
    <row r="15" spans="1:24">
      <c r="A15" s="4">
        <f t="shared" si="1"/>
        <v>4</v>
      </c>
      <c r="B15" s="6" t="s">
        <v>367</v>
      </c>
      <c r="C15" s="292">
        <v>0</v>
      </c>
      <c r="D15" s="292">
        <v>82.9</v>
      </c>
      <c r="E15" s="292">
        <v>248.57</v>
      </c>
      <c r="F15" s="292">
        <v>75.010000000000005</v>
      </c>
      <c r="G15" s="292">
        <v>98.7</v>
      </c>
      <c r="H15" s="292">
        <v>-325.5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O15" s="6">
        <f t="shared" si="0"/>
        <v>179.68</v>
      </c>
      <c r="P15" s="293"/>
    </row>
    <row r="16" spans="1:24">
      <c r="A16" s="4">
        <f t="shared" si="1"/>
        <v>5</v>
      </c>
      <c r="B16" s="6" t="s">
        <v>368</v>
      </c>
      <c r="C16" s="292">
        <v>355588</v>
      </c>
      <c r="D16" s="292">
        <v>355588</v>
      </c>
      <c r="E16" s="292">
        <v>475588</v>
      </c>
      <c r="F16" s="292">
        <v>475588</v>
      </c>
      <c r="G16" s="292">
        <v>475588</v>
      </c>
      <c r="H16" s="292">
        <v>475588</v>
      </c>
      <c r="I16" s="292">
        <f>H16</f>
        <v>475588</v>
      </c>
      <c r="J16" s="292">
        <v>395588</v>
      </c>
      <c r="K16" s="292">
        <v>395588</v>
      </c>
      <c r="L16" s="292">
        <v>395588</v>
      </c>
      <c r="M16" s="292">
        <v>395588</v>
      </c>
      <c r="N16" s="292">
        <v>395588</v>
      </c>
      <c r="O16" s="6">
        <f t="shared" si="0"/>
        <v>5067056</v>
      </c>
      <c r="P16" s="293"/>
      <c r="R16" s="277"/>
      <c r="S16" s="277"/>
    </row>
    <row r="17" spans="1:18">
      <c r="A17" s="4">
        <f t="shared" si="1"/>
        <v>6</v>
      </c>
      <c r="B17" s="6" t="s">
        <v>369</v>
      </c>
      <c r="C17" s="292">
        <v>0</v>
      </c>
      <c r="D17" s="292">
        <v>63869.85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  <c r="O17" s="6">
        <f t="shared" si="0"/>
        <v>63869.85</v>
      </c>
      <c r="P17" s="293"/>
    </row>
    <row r="18" spans="1:18">
      <c r="A18" s="4">
        <f t="shared" si="1"/>
        <v>7</v>
      </c>
      <c r="B18" s="6" t="s">
        <v>370</v>
      </c>
      <c r="C18" s="292">
        <v>70.2</v>
      </c>
      <c r="D18" s="292">
        <v>50946.46</v>
      </c>
      <c r="E18" s="292">
        <v>35.5</v>
      </c>
      <c r="F18" s="292">
        <v>0</v>
      </c>
      <c r="G18" s="292">
        <v>17414.849999999999</v>
      </c>
      <c r="H18" s="292">
        <v>192</v>
      </c>
      <c r="I18" s="292">
        <v>76</v>
      </c>
      <c r="J18" s="292">
        <v>14234</v>
      </c>
      <c r="K18" s="292">
        <v>55</v>
      </c>
      <c r="L18" s="292">
        <v>600</v>
      </c>
      <c r="M18" s="292">
        <v>25776</v>
      </c>
      <c r="N18" s="292">
        <v>227</v>
      </c>
      <c r="O18" s="6">
        <f t="shared" si="0"/>
        <v>109627.01</v>
      </c>
      <c r="P18" s="293"/>
    </row>
    <row r="19" spans="1:18" ht="17.25" customHeight="1">
      <c r="A19" s="4">
        <f t="shared" si="1"/>
        <v>8</v>
      </c>
      <c r="B19" s="6" t="s">
        <v>371</v>
      </c>
      <c r="C19" s="292">
        <v>26509.54</v>
      </c>
      <c r="D19" s="292">
        <v>26509.54</v>
      </c>
      <c r="E19" s="292">
        <v>26509.54</v>
      </c>
      <c r="F19" s="292">
        <v>26509.54</v>
      </c>
      <c r="G19" s="292">
        <v>31189.31</v>
      </c>
      <c r="H19" s="292">
        <v>31189.31</v>
      </c>
      <c r="I19" s="292">
        <v>28037</v>
      </c>
      <c r="J19" s="292">
        <v>31189</v>
      </c>
      <c r="K19" s="292">
        <v>31189</v>
      </c>
      <c r="L19" s="292">
        <v>31189</v>
      </c>
      <c r="M19" s="292">
        <v>31189</v>
      </c>
      <c r="N19" s="292">
        <v>31189</v>
      </c>
      <c r="O19" s="6">
        <f t="shared" si="0"/>
        <v>352398.78</v>
      </c>
      <c r="P19" s="293"/>
    </row>
    <row r="20" spans="1:18">
      <c r="A20" s="4">
        <f t="shared" si="1"/>
        <v>9</v>
      </c>
      <c r="B20" s="6" t="s">
        <v>372</v>
      </c>
      <c r="C20" s="292">
        <v>15633.9</v>
      </c>
      <c r="D20" s="292">
        <v>14237.6</v>
      </c>
      <c r="E20" s="292">
        <v>16828.98</v>
      </c>
      <c r="F20" s="292">
        <v>13664.88</v>
      </c>
      <c r="G20" s="292">
        <v>13940.71</v>
      </c>
      <c r="H20" s="292">
        <v>12724.86</v>
      </c>
      <c r="I20" s="292">
        <v>12327.229549399461</v>
      </c>
      <c r="J20" s="39">
        <f>J52</f>
        <v>13456.108062539495</v>
      </c>
      <c r="K20" s="39">
        <f t="shared" ref="K20:N20" si="2">K52</f>
        <v>13456.108062539495</v>
      </c>
      <c r="L20" s="39">
        <f t="shared" si="2"/>
        <v>13456.108062539495</v>
      </c>
      <c r="M20" s="39">
        <f t="shared" si="2"/>
        <v>13456.108062539495</v>
      </c>
      <c r="N20" s="39">
        <f t="shared" si="2"/>
        <v>13456.108062539495</v>
      </c>
      <c r="O20" s="6">
        <f t="shared" si="0"/>
        <v>166638.6998620969</v>
      </c>
      <c r="P20" s="79"/>
      <c r="Q20" s="79"/>
      <c r="R20" s="213"/>
    </row>
    <row r="21" spans="1:18" ht="15.75">
      <c r="A21" s="4">
        <f t="shared" si="1"/>
        <v>10</v>
      </c>
      <c r="B21" s="6" t="s">
        <v>373</v>
      </c>
      <c r="C21" s="292">
        <v>15496.55</v>
      </c>
      <c r="D21" s="292">
        <v>14055.77</v>
      </c>
      <c r="E21" s="292">
        <v>18877.48</v>
      </c>
      <c r="F21" s="292">
        <v>15967.61</v>
      </c>
      <c r="G21" s="292">
        <v>17564.29</v>
      </c>
      <c r="H21" s="292">
        <v>14940.69</v>
      </c>
      <c r="I21" s="292">
        <v>13725.44226995427</v>
      </c>
      <c r="J21" s="39">
        <f>J39</f>
        <v>13928.293020179539</v>
      </c>
      <c r="K21" s="39">
        <f t="shared" ref="K21:N21" si="3">K39</f>
        <v>13928.293020179539</v>
      </c>
      <c r="L21" s="39">
        <f t="shared" si="3"/>
        <v>13928.293020179539</v>
      </c>
      <c r="M21" s="39">
        <f t="shared" si="3"/>
        <v>13928.293020179539</v>
      </c>
      <c r="N21" s="39">
        <f t="shared" si="3"/>
        <v>13928.293020179539</v>
      </c>
      <c r="O21" s="6">
        <f t="shared" si="0"/>
        <v>180269.29737085203</v>
      </c>
      <c r="P21" s="79"/>
      <c r="Q21" s="79"/>
      <c r="R21" s="220"/>
    </row>
    <row r="22" spans="1:18">
      <c r="A22" s="4">
        <f t="shared" si="1"/>
        <v>11</v>
      </c>
      <c r="B22" s="6" t="s">
        <v>374</v>
      </c>
      <c r="C22" s="292">
        <v>10438.870000000001</v>
      </c>
      <c r="D22" s="292">
        <v>8686.01</v>
      </c>
      <c r="E22" s="292">
        <v>15608.87</v>
      </c>
      <c r="F22" s="292">
        <v>8141.77</v>
      </c>
      <c r="G22" s="292">
        <v>9004.4500000000007</v>
      </c>
      <c r="H22" s="292">
        <v>9278.74</v>
      </c>
      <c r="I22" s="292">
        <v>8662.638180646265</v>
      </c>
      <c r="J22" s="39">
        <f>J67</f>
        <v>8027.9597799140956</v>
      </c>
      <c r="K22" s="39">
        <f t="shared" ref="K22:N22" si="4">K67</f>
        <v>8027.9597799140956</v>
      </c>
      <c r="L22" s="39">
        <f t="shared" si="4"/>
        <v>8027.9597799140956</v>
      </c>
      <c r="M22" s="39">
        <f t="shared" si="4"/>
        <v>8027.9597799140956</v>
      </c>
      <c r="N22" s="39">
        <f t="shared" si="4"/>
        <v>8027.9597799140956</v>
      </c>
      <c r="O22" s="6">
        <f t="shared" si="0"/>
        <v>109961.14708021672</v>
      </c>
      <c r="P22" s="79"/>
      <c r="Q22" s="79"/>
      <c r="R22" s="213"/>
    </row>
    <row r="23" spans="1:18">
      <c r="A23" s="4">
        <f t="shared" si="1"/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8">
      <c r="A24" s="4">
        <f t="shared" si="1"/>
        <v>13</v>
      </c>
      <c r="B24" s="6" t="s">
        <v>241</v>
      </c>
      <c r="C24" s="294">
        <f t="shared" ref="C24:H24" si="5">SUM(C12:C22)</f>
        <v>455463.65</v>
      </c>
      <c r="D24" s="294">
        <f t="shared" si="5"/>
        <v>551122.26</v>
      </c>
      <c r="E24" s="294">
        <f t="shared" si="5"/>
        <v>603830.34</v>
      </c>
      <c r="F24" s="294">
        <f t="shared" si="5"/>
        <v>554649.6399999999</v>
      </c>
      <c r="G24" s="294">
        <f t="shared" si="5"/>
        <v>583075.12</v>
      </c>
      <c r="H24" s="294">
        <f t="shared" si="5"/>
        <v>562687.6</v>
      </c>
      <c r="I24" s="294">
        <f t="shared" ref="I24:N24" si="6">SUM(I12:I23)</f>
        <v>557509.30999999994</v>
      </c>
      <c r="J24" s="294">
        <f t="shared" si="6"/>
        <v>532755.3608626331</v>
      </c>
      <c r="K24" s="294">
        <f t="shared" si="6"/>
        <v>517484.36086263316</v>
      </c>
      <c r="L24" s="294">
        <f t="shared" si="6"/>
        <v>483306.36086263316</v>
      </c>
      <c r="M24" s="294">
        <f t="shared" si="6"/>
        <v>540899.3608626331</v>
      </c>
      <c r="N24" s="294">
        <f t="shared" si="6"/>
        <v>494761.36086263316</v>
      </c>
      <c r="O24" s="295">
        <f>SUM(C24:N24)</f>
        <v>6437544.724313166</v>
      </c>
      <c r="P24" s="79"/>
    </row>
    <row r="25" spans="1:18">
      <c r="A25" s="4">
        <f t="shared" si="1"/>
        <v>14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99"/>
    </row>
    <row r="26" spans="1:18" ht="15.75">
      <c r="A26" s="4">
        <f t="shared" si="1"/>
        <v>15</v>
      </c>
      <c r="B26" s="291" t="s">
        <v>375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P26" s="213"/>
    </row>
    <row r="27" spans="1:18">
      <c r="A27" s="4">
        <f t="shared" si="1"/>
        <v>16</v>
      </c>
      <c r="B27" s="6" t="s">
        <v>364</v>
      </c>
      <c r="C27" s="292">
        <v>246064.07999999993</v>
      </c>
      <c r="D27" s="292">
        <v>223116.25000000006</v>
      </c>
      <c r="E27" s="292">
        <v>272951.9600000002</v>
      </c>
      <c r="F27" s="292">
        <v>217850.18000000005</v>
      </c>
      <c r="G27" s="292">
        <v>223830.8300000001</v>
      </c>
      <c r="H27" s="292">
        <v>198393.37</v>
      </c>
      <c r="I27" s="292">
        <v>175303.43618294419</v>
      </c>
      <c r="J27" s="292">
        <v>193084.9756696331</v>
      </c>
      <c r="K27" s="292">
        <v>193084.9756696331</v>
      </c>
      <c r="L27" s="292">
        <v>193084.9756696331</v>
      </c>
      <c r="M27" s="292">
        <v>193084.9756696331</v>
      </c>
      <c r="N27" s="292">
        <v>193084.9756696331</v>
      </c>
      <c r="O27" s="173">
        <f t="shared" ref="O27:O34" si="7">SUM(C27:N27)</f>
        <v>2522934.9845311102</v>
      </c>
      <c r="Q27" s="213"/>
    </row>
    <row r="28" spans="1:18">
      <c r="A28" s="4">
        <f t="shared" si="1"/>
        <v>17</v>
      </c>
      <c r="B28" s="6" t="s">
        <v>365</v>
      </c>
      <c r="C28" s="292">
        <v>293.57999999999947</v>
      </c>
      <c r="D28" s="292">
        <v>-298.44000000000005</v>
      </c>
      <c r="E28" s="292">
        <v>399.57999999999993</v>
      </c>
      <c r="F28" s="292">
        <v>170.03</v>
      </c>
      <c r="G28" s="292">
        <v>176.73</v>
      </c>
      <c r="H28" s="292">
        <v>156.05999999999995</v>
      </c>
      <c r="I28" s="292">
        <v>113.8338061352573</v>
      </c>
      <c r="J28" s="292">
        <v>125.38030153082846</v>
      </c>
      <c r="K28" s="292">
        <v>125.38030153082846</v>
      </c>
      <c r="L28" s="292">
        <v>125.38030153082846</v>
      </c>
      <c r="M28" s="292">
        <v>125.38030153082846</v>
      </c>
      <c r="N28" s="292">
        <v>125.38030153082846</v>
      </c>
      <c r="O28" s="6">
        <f t="shared" si="7"/>
        <v>1638.2753137893992</v>
      </c>
    </row>
    <row r="29" spans="1:18">
      <c r="A29" s="4">
        <f t="shared" si="1"/>
        <v>18</v>
      </c>
      <c r="B29" s="6" t="s">
        <v>366</v>
      </c>
      <c r="C29" s="292">
        <v>3331.3900000000021</v>
      </c>
      <c r="D29" s="292">
        <v>-586.07999999999993</v>
      </c>
      <c r="E29" s="292">
        <v>630.81999999999994</v>
      </c>
      <c r="F29" s="292">
        <v>628.08999999999992</v>
      </c>
      <c r="G29" s="292">
        <v>491.69</v>
      </c>
      <c r="H29" s="292">
        <v>569.2600000000001</v>
      </c>
      <c r="I29" s="292">
        <v>642.40878381144216</v>
      </c>
      <c r="J29" s="292">
        <v>707.57018283854427</v>
      </c>
      <c r="K29" s="292">
        <v>707.57018283854427</v>
      </c>
      <c r="L29" s="292">
        <v>707.57018283854427</v>
      </c>
      <c r="M29" s="292">
        <v>707.57018283854427</v>
      </c>
      <c r="N29" s="292">
        <v>707.57018283854427</v>
      </c>
      <c r="O29" s="6">
        <f t="shared" si="7"/>
        <v>9245.4296980041654</v>
      </c>
    </row>
    <row r="30" spans="1:18">
      <c r="A30" s="4">
        <f t="shared" si="1"/>
        <v>19</v>
      </c>
      <c r="B30" s="6" t="s">
        <v>376</v>
      </c>
      <c r="C30" s="292">
        <v>45000</v>
      </c>
      <c r="D30" s="292">
        <v>45000</v>
      </c>
      <c r="E30" s="292">
        <v>85000</v>
      </c>
      <c r="F30" s="292">
        <v>85000</v>
      </c>
      <c r="G30" s="292">
        <v>85000</v>
      </c>
      <c r="H30" s="292">
        <v>85000</v>
      </c>
      <c r="I30" s="292">
        <v>85000</v>
      </c>
      <c r="J30" s="292">
        <v>71000</v>
      </c>
      <c r="K30" s="292">
        <v>71000</v>
      </c>
      <c r="L30" s="292">
        <v>71000</v>
      </c>
      <c r="M30" s="292">
        <v>71000</v>
      </c>
      <c r="N30" s="292">
        <v>71000</v>
      </c>
      <c r="O30" s="6">
        <f t="shared" si="7"/>
        <v>870000</v>
      </c>
      <c r="P30" s="79"/>
    </row>
    <row r="31" spans="1:18">
      <c r="A31" s="4">
        <f t="shared" si="1"/>
        <v>20</v>
      </c>
      <c r="B31" s="6" t="s">
        <v>377</v>
      </c>
      <c r="C31" s="292">
        <v>0</v>
      </c>
      <c r="D31" s="292">
        <v>0</v>
      </c>
      <c r="E31" s="292">
        <v>0</v>
      </c>
      <c r="F31" s="292">
        <v>0</v>
      </c>
      <c r="G31" s="292">
        <v>44.640000000000008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6">
        <f t="shared" si="7"/>
        <v>44.640000000000008</v>
      </c>
    </row>
    <row r="32" spans="1:18">
      <c r="A32" s="4">
        <f t="shared" si="1"/>
        <v>21</v>
      </c>
      <c r="B32" s="6" t="s">
        <v>378</v>
      </c>
      <c r="C32" s="292">
        <v>0</v>
      </c>
      <c r="D32" s="292">
        <v>58.94</v>
      </c>
      <c r="E32" s="292">
        <v>0</v>
      </c>
      <c r="F32" s="292">
        <v>-1.38</v>
      </c>
      <c r="G32" s="292">
        <v>24466.23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6">
        <f t="shared" si="7"/>
        <v>24523.79</v>
      </c>
      <c r="Q32" s="145"/>
      <c r="R32" s="213"/>
    </row>
    <row r="33" spans="1:17">
      <c r="A33" s="4">
        <f t="shared" si="1"/>
        <v>22</v>
      </c>
      <c r="B33"/>
      <c r="C33" s="296"/>
      <c r="D33" s="296"/>
      <c r="E33" s="296"/>
      <c r="F33" s="39"/>
      <c r="G33" s="39"/>
      <c r="H33" s="39"/>
      <c r="I33" s="39"/>
      <c r="J33" s="39"/>
      <c r="K33" s="39"/>
      <c r="L33" s="39"/>
      <c r="M33" s="39"/>
      <c r="N33" s="39"/>
    </row>
    <row r="34" spans="1:17">
      <c r="A34" s="4">
        <f t="shared" si="1"/>
        <v>23</v>
      </c>
      <c r="B34" s="6" t="s">
        <v>379</v>
      </c>
      <c r="C34" s="294">
        <f t="shared" ref="C34:N34" si="8">SUM(C27:C32)</f>
        <v>294689.04999999993</v>
      </c>
      <c r="D34" s="294">
        <f t="shared" si="8"/>
        <v>267290.6700000001</v>
      </c>
      <c r="E34" s="294">
        <f t="shared" si="8"/>
        <v>358982.36000000022</v>
      </c>
      <c r="F34" s="294">
        <f t="shared" si="8"/>
        <v>303646.92000000004</v>
      </c>
      <c r="G34" s="294">
        <f t="shared" si="8"/>
        <v>334010.12000000011</v>
      </c>
      <c r="H34" s="294">
        <f t="shared" si="8"/>
        <v>284118.69</v>
      </c>
      <c r="I34" s="294">
        <f t="shared" si="8"/>
        <v>261059.67877289088</v>
      </c>
      <c r="J34" s="294">
        <f t="shared" si="8"/>
        <v>264917.92615400243</v>
      </c>
      <c r="K34" s="294">
        <f t="shared" si="8"/>
        <v>264917.92615400243</v>
      </c>
      <c r="L34" s="294">
        <f t="shared" si="8"/>
        <v>264917.92615400243</v>
      </c>
      <c r="M34" s="294">
        <f t="shared" si="8"/>
        <v>264917.92615400243</v>
      </c>
      <c r="N34" s="294">
        <f t="shared" si="8"/>
        <v>264917.92615400243</v>
      </c>
      <c r="O34" s="295">
        <f t="shared" si="7"/>
        <v>3428387.1195429037</v>
      </c>
    </row>
    <row r="35" spans="1:17">
      <c r="A35" s="4">
        <f t="shared" si="1"/>
        <v>24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1:17">
      <c r="A36" s="4">
        <f t="shared" si="1"/>
        <v>25</v>
      </c>
      <c r="B36" s="6" t="s">
        <v>380</v>
      </c>
      <c r="C36" s="278"/>
      <c r="D36" s="278"/>
      <c r="E36" s="278"/>
      <c r="F36" s="278"/>
      <c r="G36" s="278"/>
      <c r="H36" s="278"/>
      <c r="I36" s="278"/>
      <c r="J36" s="278">
        <v>0.1071</v>
      </c>
      <c r="K36" s="278">
        <f>J36</f>
        <v>0.1071</v>
      </c>
      <c r="L36" s="278">
        <f t="shared" ref="L36:N37" si="9">K36</f>
        <v>0.1071</v>
      </c>
      <c r="M36" s="278">
        <f t="shared" si="9"/>
        <v>0.1071</v>
      </c>
      <c r="N36" s="278">
        <f t="shared" si="9"/>
        <v>0.1071</v>
      </c>
    </row>
    <row r="37" spans="1:17">
      <c r="A37" s="4">
        <f t="shared" si="1"/>
        <v>26</v>
      </c>
      <c r="B37" s="6" t="s">
        <v>381</v>
      </c>
      <c r="C37" s="248"/>
      <c r="D37" s="248"/>
      <c r="E37" s="248"/>
      <c r="F37" s="248"/>
      <c r="G37" s="248"/>
      <c r="H37" s="248"/>
      <c r="I37" s="248"/>
      <c r="J37" s="248">
        <v>0.49090457251500325</v>
      </c>
      <c r="K37" s="278">
        <f>J37</f>
        <v>0.49090457251500325</v>
      </c>
      <c r="L37" s="278">
        <f t="shared" si="9"/>
        <v>0.49090457251500325</v>
      </c>
      <c r="M37" s="278">
        <f t="shared" si="9"/>
        <v>0.49090457251500325</v>
      </c>
      <c r="N37" s="278">
        <f t="shared" si="9"/>
        <v>0.49090457251500325</v>
      </c>
    </row>
    <row r="38" spans="1:17">
      <c r="A38" s="4">
        <f t="shared" si="1"/>
        <v>27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7">
      <c r="A39" s="4">
        <f t="shared" si="1"/>
        <v>28</v>
      </c>
      <c r="B39" s="6" t="s">
        <v>342</v>
      </c>
      <c r="C39" s="294">
        <f t="shared" ref="C39:I39" si="10">C21</f>
        <v>15496.55</v>
      </c>
      <c r="D39" s="294">
        <f t="shared" si="10"/>
        <v>14055.77</v>
      </c>
      <c r="E39" s="294">
        <f t="shared" si="10"/>
        <v>18877.48</v>
      </c>
      <c r="F39" s="294">
        <f t="shared" si="10"/>
        <v>15967.61</v>
      </c>
      <c r="G39" s="294">
        <f t="shared" si="10"/>
        <v>17564.29</v>
      </c>
      <c r="H39" s="294">
        <f t="shared" si="10"/>
        <v>14940.69</v>
      </c>
      <c r="I39" s="294">
        <f t="shared" si="10"/>
        <v>13725.44226995427</v>
      </c>
      <c r="J39" s="294">
        <f>(J34)*J36*J37</f>
        <v>13928.293020179539</v>
      </c>
      <c r="K39" s="294">
        <f t="shared" ref="K39:N39" si="11">(K34)*K36*K37</f>
        <v>13928.293020179539</v>
      </c>
      <c r="L39" s="294">
        <f t="shared" si="11"/>
        <v>13928.293020179539</v>
      </c>
      <c r="M39" s="294">
        <f t="shared" si="11"/>
        <v>13928.293020179539</v>
      </c>
      <c r="N39" s="294">
        <f t="shared" si="11"/>
        <v>13928.293020179539</v>
      </c>
      <c r="O39" s="295">
        <f>SUM(C39:N39)</f>
        <v>180269.29737085203</v>
      </c>
    </row>
    <row r="40" spans="1:17">
      <c r="A40" s="4">
        <f t="shared" si="1"/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7" ht="15.75">
      <c r="A41" s="4">
        <f t="shared" si="1"/>
        <v>30</v>
      </c>
      <c r="B41" s="291" t="s">
        <v>382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7">
      <c r="A42" s="4">
        <f t="shared" si="1"/>
        <v>31</v>
      </c>
      <c r="B42" s="6" t="s">
        <v>364</v>
      </c>
      <c r="C42" s="292">
        <v>220184.16999999998</v>
      </c>
      <c r="D42" s="292">
        <v>199801.41</v>
      </c>
      <c r="E42" s="292">
        <v>243419.56000000003</v>
      </c>
      <c r="F42" s="292">
        <v>188310.48</v>
      </c>
      <c r="G42" s="292">
        <v>193205.41999999998</v>
      </c>
      <c r="H42" s="292">
        <v>171926.27</v>
      </c>
      <c r="I42" s="292">
        <v>165088.71111387134</v>
      </c>
      <c r="J42" s="292">
        <v>179787.49262949187</v>
      </c>
      <c r="K42" s="292">
        <v>179787.49262949187</v>
      </c>
      <c r="L42" s="292">
        <v>179787.49262949187</v>
      </c>
      <c r="M42" s="292">
        <v>179787.49262949187</v>
      </c>
      <c r="N42" s="292">
        <v>179787.49262949187</v>
      </c>
      <c r="O42" s="173">
        <f t="shared" ref="O42:O47" si="12">SUM(C42:N42)</f>
        <v>2280873.4842613307</v>
      </c>
      <c r="P42" s="79"/>
    </row>
    <row r="43" spans="1:17">
      <c r="A43" s="4">
        <f t="shared" si="1"/>
        <v>32</v>
      </c>
      <c r="B43" s="6" t="s">
        <v>365</v>
      </c>
      <c r="C43" s="292">
        <v>264.57000000000016</v>
      </c>
      <c r="D43" s="292">
        <v>-266.5100000000001</v>
      </c>
      <c r="E43" s="292">
        <v>355.96</v>
      </c>
      <c r="F43" s="292">
        <v>145.5</v>
      </c>
      <c r="G43" s="292">
        <v>152.31</v>
      </c>
      <c r="H43" s="292">
        <v>135.41999999999999</v>
      </c>
      <c r="I43" s="292">
        <v>106.80558419806606</v>
      </c>
      <c r="J43" s="292">
        <v>116.31508933735282</v>
      </c>
      <c r="K43" s="292">
        <v>116.31508933735282</v>
      </c>
      <c r="L43" s="292">
        <v>116.31508933735282</v>
      </c>
      <c r="M43" s="292">
        <v>116.31508933735282</v>
      </c>
      <c r="N43" s="292">
        <v>116.31508933735282</v>
      </c>
      <c r="O43" s="6">
        <f t="shared" si="12"/>
        <v>1475.6310308848304</v>
      </c>
    </row>
    <row r="44" spans="1:17">
      <c r="A44" s="4">
        <f t="shared" si="1"/>
        <v>33</v>
      </c>
      <c r="B44" s="6" t="s">
        <v>366</v>
      </c>
      <c r="C44" s="292">
        <v>2984.8899999999994</v>
      </c>
      <c r="D44" s="292">
        <v>-522.12000000000035</v>
      </c>
      <c r="E44" s="292">
        <v>559.8900000000001</v>
      </c>
      <c r="F44" s="292">
        <v>539.84</v>
      </c>
      <c r="G44" s="292">
        <v>423.86</v>
      </c>
      <c r="H44" s="292">
        <v>493.40000000000003</v>
      </c>
      <c r="I44" s="292">
        <v>607.76549236853396</v>
      </c>
      <c r="J44" s="292">
        <v>661.87829102559488</v>
      </c>
      <c r="K44" s="292">
        <v>661.87829102559488</v>
      </c>
      <c r="L44" s="292">
        <v>661.87829102559488</v>
      </c>
      <c r="M44" s="292">
        <v>661.87829102559488</v>
      </c>
      <c r="N44" s="292">
        <v>661.87829102559488</v>
      </c>
      <c r="O44" s="6">
        <f t="shared" si="12"/>
        <v>8396.9169474965074</v>
      </c>
    </row>
    <row r="45" spans="1:17">
      <c r="A45" s="4">
        <f t="shared" si="1"/>
        <v>34</v>
      </c>
      <c r="B45" s="6" t="s">
        <v>376</v>
      </c>
      <c r="C45" s="292">
        <v>50000</v>
      </c>
      <c r="D45" s="292">
        <v>50000</v>
      </c>
      <c r="E45" s="292">
        <v>50000</v>
      </c>
      <c r="F45" s="292">
        <v>50000</v>
      </c>
      <c r="G45" s="292">
        <v>50000</v>
      </c>
      <c r="H45" s="292">
        <v>50000</v>
      </c>
      <c r="I45" s="292">
        <v>50000</v>
      </c>
      <c r="J45" s="292">
        <v>55000</v>
      </c>
      <c r="K45" s="292">
        <v>55000</v>
      </c>
      <c r="L45" s="292">
        <v>55000</v>
      </c>
      <c r="M45" s="292">
        <v>55000</v>
      </c>
      <c r="N45" s="292">
        <v>55000</v>
      </c>
      <c r="O45" s="6">
        <f t="shared" si="12"/>
        <v>625000</v>
      </c>
      <c r="P45" s="79"/>
    </row>
    <row r="46" spans="1:17">
      <c r="A46" s="4">
        <f t="shared" si="1"/>
        <v>35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>
      <c r="A47" s="4">
        <f t="shared" si="1"/>
        <v>36</v>
      </c>
      <c r="B47" s="6" t="s">
        <v>379</v>
      </c>
      <c r="C47" s="294">
        <f t="shared" ref="C47:N47" si="13">SUM(C42:C45)</f>
        <v>273433.63</v>
      </c>
      <c r="D47" s="294">
        <f t="shared" si="13"/>
        <v>249012.78</v>
      </c>
      <c r="E47" s="294">
        <f t="shared" si="13"/>
        <v>294335.41000000003</v>
      </c>
      <c r="F47" s="294">
        <f t="shared" si="13"/>
        <v>238995.82</v>
      </c>
      <c r="G47" s="294">
        <f t="shared" si="13"/>
        <v>243781.58999999997</v>
      </c>
      <c r="H47" s="294">
        <f t="shared" si="13"/>
        <v>222555.09</v>
      </c>
      <c r="I47" s="294">
        <f t="shared" si="13"/>
        <v>215803.28219043795</v>
      </c>
      <c r="J47" s="294">
        <f>SUM(J42:J45)</f>
        <v>235565.68600985481</v>
      </c>
      <c r="K47" s="294">
        <f t="shared" si="13"/>
        <v>235565.68600985481</v>
      </c>
      <c r="L47" s="294">
        <f t="shared" si="13"/>
        <v>235565.68600985481</v>
      </c>
      <c r="M47" s="294">
        <f t="shared" si="13"/>
        <v>235565.68600985481</v>
      </c>
      <c r="N47" s="294">
        <f t="shared" si="13"/>
        <v>235565.68600985481</v>
      </c>
      <c r="O47" s="295">
        <f t="shared" si="12"/>
        <v>2915746.0322397128</v>
      </c>
      <c r="Q47" s="145"/>
    </row>
    <row r="48" spans="1:17">
      <c r="A48" s="4">
        <f t="shared" si="1"/>
        <v>37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1:17">
      <c r="A49" s="4">
        <f t="shared" si="1"/>
        <v>38</v>
      </c>
      <c r="B49" s="6" t="s">
        <v>380</v>
      </c>
      <c r="C49" s="248"/>
      <c r="D49" s="248"/>
      <c r="E49" s="248"/>
      <c r="F49" s="248"/>
      <c r="G49" s="248"/>
      <c r="H49" s="248"/>
      <c r="I49" s="248"/>
      <c r="J49" s="248">
        <v>0.1086</v>
      </c>
      <c r="K49" s="248">
        <f>J49</f>
        <v>0.1086</v>
      </c>
      <c r="L49" s="248">
        <f t="shared" ref="L49:N50" si="14">K49</f>
        <v>0.1086</v>
      </c>
      <c r="M49" s="248">
        <f t="shared" si="14"/>
        <v>0.1086</v>
      </c>
      <c r="N49" s="248">
        <f t="shared" si="14"/>
        <v>0.1086</v>
      </c>
    </row>
    <row r="50" spans="1:17">
      <c r="A50" s="4">
        <f t="shared" si="1"/>
        <v>39</v>
      </c>
      <c r="B50" s="6" t="s">
        <v>381</v>
      </c>
      <c r="C50" s="248"/>
      <c r="D50" s="248"/>
      <c r="E50" s="248"/>
      <c r="F50" s="248"/>
      <c r="G50" s="248"/>
      <c r="H50" s="248"/>
      <c r="I50" s="248"/>
      <c r="J50" s="248">
        <v>0.52599015110063552</v>
      </c>
      <c r="K50" s="248">
        <f>J50</f>
        <v>0.52599015110063552</v>
      </c>
      <c r="L50" s="248">
        <f t="shared" si="14"/>
        <v>0.52599015110063552</v>
      </c>
      <c r="M50" s="248">
        <f t="shared" si="14"/>
        <v>0.52599015110063552</v>
      </c>
      <c r="N50" s="248">
        <f t="shared" si="14"/>
        <v>0.52599015110063552</v>
      </c>
    </row>
    <row r="51" spans="1:17">
      <c r="A51" s="4">
        <f t="shared" si="1"/>
        <v>40</v>
      </c>
      <c r="C51" s="5"/>
      <c r="D51" s="5"/>
      <c r="E51" s="5"/>
      <c r="F51" s="5"/>
      <c r="G51" s="5"/>
      <c r="H51" s="5"/>
      <c r="I51" s="5"/>
      <c r="J51" s="248"/>
      <c r="K51" s="5"/>
      <c r="L51" s="5"/>
      <c r="M51" s="5"/>
      <c r="N51" s="5"/>
    </row>
    <row r="52" spans="1:17">
      <c r="A52" s="4">
        <f t="shared" si="1"/>
        <v>41</v>
      </c>
      <c r="B52" s="6" t="s">
        <v>342</v>
      </c>
      <c r="C52" s="294">
        <f t="shared" ref="C52:I52" si="15">C20</f>
        <v>15633.9</v>
      </c>
      <c r="D52" s="294">
        <f t="shared" si="15"/>
        <v>14237.6</v>
      </c>
      <c r="E52" s="294">
        <f t="shared" si="15"/>
        <v>16828.98</v>
      </c>
      <c r="F52" s="294">
        <f t="shared" si="15"/>
        <v>13664.88</v>
      </c>
      <c r="G52" s="294">
        <f t="shared" si="15"/>
        <v>13940.71</v>
      </c>
      <c r="H52" s="294">
        <f t="shared" si="15"/>
        <v>12724.86</v>
      </c>
      <c r="I52" s="294">
        <f t="shared" si="15"/>
        <v>12327.229549399461</v>
      </c>
      <c r="J52" s="294">
        <f>(J47)*J49*J50</f>
        <v>13456.108062539495</v>
      </c>
      <c r="K52" s="294">
        <f t="shared" ref="K52:N52" si="16">(K47)*K49*K50</f>
        <v>13456.108062539495</v>
      </c>
      <c r="L52" s="294">
        <f t="shared" si="16"/>
        <v>13456.108062539495</v>
      </c>
      <c r="M52" s="294">
        <f t="shared" si="16"/>
        <v>13456.108062539495</v>
      </c>
      <c r="N52" s="294">
        <f t="shared" si="16"/>
        <v>13456.108062539495</v>
      </c>
      <c r="O52" s="295">
        <f>SUM(C52:N52)</f>
        <v>166638.6998620969</v>
      </c>
    </row>
    <row r="53" spans="1:17">
      <c r="A53" s="4">
        <f t="shared" si="1"/>
        <v>42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7" ht="15.75">
      <c r="A54" s="4">
        <f t="shared" si="1"/>
        <v>43</v>
      </c>
      <c r="B54" s="291" t="s">
        <v>383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7">
      <c r="A55" s="4">
        <f t="shared" si="1"/>
        <v>44</v>
      </c>
      <c r="B55" s="6" t="s">
        <v>364</v>
      </c>
      <c r="C55" s="292">
        <v>10597.980000000001</v>
      </c>
      <c r="D55" s="292">
        <v>7986.24</v>
      </c>
      <c r="E55" s="292">
        <v>21767.620000000006</v>
      </c>
      <c r="F55" s="292">
        <v>6560.800000000002</v>
      </c>
      <c r="G55" s="292">
        <v>8325.7099999999973</v>
      </c>
      <c r="H55" s="292">
        <v>8803.19</v>
      </c>
      <c r="I55" s="292">
        <v>7622.8497917870172</v>
      </c>
      <c r="J55" s="292">
        <v>8826.2759720775739</v>
      </c>
      <c r="K55" s="292">
        <v>8826.2759720775739</v>
      </c>
      <c r="L55" s="292">
        <v>8826.2759720775739</v>
      </c>
      <c r="M55" s="292">
        <v>8826.2759720775739</v>
      </c>
      <c r="N55" s="292">
        <v>8826.2759720775739</v>
      </c>
      <c r="O55" s="173">
        <f t="shared" ref="O55:O62" si="17">SUM(C55:N55)</f>
        <v>115795.76965217493</v>
      </c>
    </row>
    <row r="56" spans="1:17">
      <c r="A56" s="4">
        <f t="shared" si="1"/>
        <v>45</v>
      </c>
      <c r="B56" s="6" t="s">
        <v>365</v>
      </c>
      <c r="C56" s="292">
        <v>-110.30000000000001</v>
      </c>
      <c r="D56" s="292">
        <v>-30.099999999999998</v>
      </c>
      <c r="E56" s="292">
        <v>3.9200000000000008</v>
      </c>
      <c r="F56" s="292">
        <v>5.05</v>
      </c>
      <c r="G56" s="292">
        <v>0.97</v>
      </c>
      <c r="H56" s="292">
        <v>0.46000000000000013</v>
      </c>
      <c r="I56" s="292">
        <v>-15.473870130735644</v>
      </c>
      <c r="J56" s="292">
        <v>-17.916743981641982</v>
      </c>
      <c r="K56" s="292">
        <v>-17.916743981641982</v>
      </c>
      <c r="L56" s="292">
        <v>-17.916743981641982</v>
      </c>
      <c r="M56" s="292">
        <v>-17.916743981641982</v>
      </c>
      <c r="N56" s="292">
        <v>-17.916743981641982</v>
      </c>
      <c r="O56" s="6">
        <f t="shared" si="17"/>
        <v>-235.05759003894556</v>
      </c>
    </row>
    <row r="57" spans="1:17">
      <c r="A57" s="4">
        <f t="shared" si="1"/>
        <v>46</v>
      </c>
      <c r="B57" s="6" t="s">
        <v>366</v>
      </c>
      <c r="C57" s="292">
        <v>633.2299999999999</v>
      </c>
      <c r="D57" s="292">
        <v>-320.97000000000008</v>
      </c>
      <c r="E57" s="292">
        <v>-5.2899999999999991</v>
      </c>
      <c r="F57" s="292">
        <v>12.2</v>
      </c>
      <c r="G57" s="292">
        <v>4.4500000000000011</v>
      </c>
      <c r="H57" s="292">
        <v>3.2</v>
      </c>
      <c r="I57" s="292">
        <v>38.901309508669385</v>
      </c>
      <c r="J57" s="292">
        <v>45.042694369847915</v>
      </c>
      <c r="K57" s="292">
        <v>45.042694369847915</v>
      </c>
      <c r="L57" s="292">
        <v>45.042694369847915</v>
      </c>
      <c r="M57" s="292">
        <v>45.042694369847915</v>
      </c>
      <c r="N57" s="292">
        <v>45.042694369847915</v>
      </c>
      <c r="O57" s="6">
        <f t="shared" si="17"/>
        <v>590.93478135790883</v>
      </c>
    </row>
    <row r="58" spans="1:17">
      <c r="A58" s="4">
        <f t="shared" si="1"/>
        <v>47</v>
      </c>
      <c r="B58" t="s">
        <v>367</v>
      </c>
      <c r="C58" s="292">
        <v>139.52000000000001</v>
      </c>
      <c r="D58" s="292">
        <v>55.27</v>
      </c>
      <c r="E58" s="292">
        <v>23.69</v>
      </c>
      <c r="F58" s="292">
        <v>3.95</v>
      </c>
      <c r="G58" s="292">
        <v>7.9</v>
      </c>
      <c r="H58" s="292">
        <v>90.8</v>
      </c>
      <c r="I58" s="292">
        <v>0</v>
      </c>
      <c r="J58" s="292">
        <v>0</v>
      </c>
      <c r="K58" s="292">
        <v>0</v>
      </c>
      <c r="L58" s="292">
        <v>0</v>
      </c>
      <c r="M58" s="292">
        <v>0</v>
      </c>
      <c r="N58" s="292">
        <v>0</v>
      </c>
      <c r="O58" s="6">
        <f t="shared" si="17"/>
        <v>321.13</v>
      </c>
    </row>
    <row r="59" spans="1:17">
      <c r="A59" s="4">
        <f t="shared" si="1"/>
        <v>48</v>
      </c>
      <c r="B59" s="6" t="s">
        <v>376</v>
      </c>
      <c r="C59" s="292">
        <v>10000</v>
      </c>
      <c r="D59" s="292">
        <v>10000</v>
      </c>
      <c r="E59" s="292">
        <v>10000</v>
      </c>
      <c r="F59" s="292">
        <v>10000</v>
      </c>
      <c r="G59" s="292">
        <v>10000</v>
      </c>
      <c r="H59" s="292">
        <v>10000</v>
      </c>
      <c r="I59" s="292">
        <v>10000</v>
      </c>
      <c r="J59" s="292">
        <v>7500</v>
      </c>
      <c r="K59" s="292">
        <v>7500</v>
      </c>
      <c r="L59" s="292">
        <v>7500</v>
      </c>
      <c r="M59" s="292">
        <v>7500</v>
      </c>
      <c r="N59" s="292">
        <v>7500</v>
      </c>
      <c r="O59" s="6">
        <f t="shared" si="17"/>
        <v>107500</v>
      </c>
    </row>
    <row r="60" spans="1:17">
      <c r="A60" s="4">
        <f t="shared" si="1"/>
        <v>49</v>
      </c>
      <c r="B60" s="145" t="s">
        <v>384</v>
      </c>
      <c r="C60" s="292">
        <v>0</v>
      </c>
      <c r="D60" s="292">
        <v>0</v>
      </c>
      <c r="E60" s="292">
        <v>0</v>
      </c>
      <c r="F60" s="292">
        <v>0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0</v>
      </c>
      <c r="O60" s="6">
        <f t="shared" si="17"/>
        <v>0</v>
      </c>
    </row>
    <row r="61" spans="1:17">
      <c r="A61" s="4">
        <f t="shared" si="1"/>
        <v>50</v>
      </c>
      <c r="B61"/>
      <c r="C61" s="39"/>
      <c r="D61" s="39"/>
      <c r="E61" s="296"/>
      <c r="F61" s="296"/>
      <c r="G61" s="39"/>
      <c r="H61" s="39"/>
      <c r="I61" s="39"/>
      <c r="J61" s="39"/>
      <c r="K61" s="39"/>
      <c r="L61" s="39"/>
      <c r="M61" s="39"/>
      <c r="N61" s="39"/>
      <c r="Q61" s="145"/>
    </row>
    <row r="62" spans="1:17">
      <c r="A62" s="4">
        <f t="shared" si="1"/>
        <v>51</v>
      </c>
      <c r="B62" s="6" t="s">
        <v>379</v>
      </c>
      <c r="C62" s="294">
        <f t="shared" ref="C62:N62" si="18">SUM(C55:C60)</f>
        <v>21260.43</v>
      </c>
      <c r="D62" s="294">
        <f t="shared" si="18"/>
        <v>17690.439999999999</v>
      </c>
      <c r="E62" s="294">
        <f t="shared" si="18"/>
        <v>31789.940000000002</v>
      </c>
      <c r="F62" s="294">
        <f t="shared" si="18"/>
        <v>16582</v>
      </c>
      <c r="G62" s="294">
        <f t="shared" si="18"/>
        <v>18339.03</v>
      </c>
      <c r="H62" s="294">
        <f t="shared" si="18"/>
        <v>18897.650000000001</v>
      </c>
      <c r="I62" s="294">
        <f t="shared" si="18"/>
        <v>17646.27723116495</v>
      </c>
      <c r="J62" s="294">
        <f t="shared" si="18"/>
        <v>16353.401922465779</v>
      </c>
      <c r="K62" s="294">
        <f t="shared" si="18"/>
        <v>16353.401922465779</v>
      </c>
      <c r="L62" s="294">
        <f t="shared" si="18"/>
        <v>16353.401922465779</v>
      </c>
      <c r="M62" s="294">
        <f t="shared" si="18"/>
        <v>16353.401922465779</v>
      </c>
      <c r="N62" s="294">
        <f t="shared" si="18"/>
        <v>16353.401922465779</v>
      </c>
      <c r="O62" s="295">
        <f t="shared" si="17"/>
        <v>223972.77684349378</v>
      </c>
    </row>
    <row r="63" spans="1:17">
      <c r="A63" s="4">
        <f t="shared" si="1"/>
        <v>52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</row>
    <row r="64" spans="1:17">
      <c r="A64" s="4">
        <f t="shared" si="1"/>
        <v>53</v>
      </c>
      <c r="B64" s="6" t="s">
        <v>380</v>
      </c>
      <c r="C64" s="248"/>
      <c r="D64" s="248"/>
      <c r="E64" s="248"/>
      <c r="F64" s="248"/>
      <c r="G64" s="248"/>
      <c r="H64" s="248"/>
      <c r="I64" s="248"/>
      <c r="J64" s="248">
        <v>1</v>
      </c>
      <c r="K64" s="248">
        <f>J64</f>
        <v>1</v>
      </c>
      <c r="L64" s="248">
        <f t="shared" ref="L64:N65" si="19">K64</f>
        <v>1</v>
      </c>
      <c r="M64" s="248">
        <f t="shared" si="19"/>
        <v>1</v>
      </c>
      <c r="N64" s="248">
        <f t="shared" si="19"/>
        <v>1</v>
      </c>
    </row>
    <row r="65" spans="1:16">
      <c r="A65" s="4">
        <f t="shared" si="1"/>
        <v>54</v>
      </c>
      <c r="B65" s="6" t="s">
        <v>381</v>
      </c>
      <c r="C65" s="248"/>
      <c r="D65" s="248"/>
      <c r="E65" s="248"/>
      <c r="F65" s="248"/>
      <c r="G65" s="248"/>
      <c r="H65" s="248"/>
      <c r="I65" s="248"/>
      <c r="J65" s="248">
        <v>0.49090457251500325</v>
      </c>
      <c r="K65" s="248">
        <f>J65</f>
        <v>0.49090457251500325</v>
      </c>
      <c r="L65" s="248">
        <f t="shared" si="19"/>
        <v>0.49090457251500325</v>
      </c>
      <c r="M65" s="248">
        <f t="shared" si="19"/>
        <v>0.49090457251500325</v>
      </c>
      <c r="N65" s="248">
        <f t="shared" si="19"/>
        <v>0.49090457251500325</v>
      </c>
    </row>
    <row r="66" spans="1:16">
      <c r="A66" s="4">
        <f t="shared" si="1"/>
        <v>55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6">
      <c r="A67" s="4">
        <f t="shared" si="1"/>
        <v>56</v>
      </c>
      <c r="B67" s="6" t="s">
        <v>342</v>
      </c>
      <c r="C67" s="294">
        <f t="shared" ref="C67:I67" si="20">C22</f>
        <v>10438.870000000001</v>
      </c>
      <c r="D67" s="294">
        <f t="shared" si="20"/>
        <v>8686.01</v>
      </c>
      <c r="E67" s="294">
        <f t="shared" si="20"/>
        <v>15608.87</v>
      </c>
      <c r="F67" s="294">
        <f t="shared" si="20"/>
        <v>8141.77</v>
      </c>
      <c r="G67" s="294">
        <f t="shared" si="20"/>
        <v>9004.4500000000007</v>
      </c>
      <c r="H67" s="294">
        <f t="shared" si="20"/>
        <v>9278.74</v>
      </c>
      <c r="I67" s="294">
        <f t="shared" si="20"/>
        <v>8662.638180646265</v>
      </c>
      <c r="J67" s="294">
        <f>(J62)*J64*J65</f>
        <v>8027.9597799140956</v>
      </c>
      <c r="K67" s="294">
        <f t="shared" ref="K67:N67" si="21">(K62)*K64*K65</f>
        <v>8027.9597799140956</v>
      </c>
      <c r="L67" s="294">
        <f t="shared" si="21"/>
        <v>8027.9597799140956</v>
      </c>
      <c r="M67" s="294">
        <f t="shared" si="21"/>
        <v>8027.9597799140956</v>
      </c>
      <c r="N67" s="294">
        <f t="shared" si="21"/>
        <v>8027.9597799140956</v>
      </c>
      <c r="O67" s="294">
        <f>SUM(C67:N67)</f>
        <v>109961.14708021672</v>
      </c>
    </row>
    <row r="68" spans="1:16">
      <c r="C68" s="168"/>
      <c r="E68" s="5"/>
    </row>
    <row r="69" spans="1:16">
      <c r="E69" s="5"/>
    </row>
    <row r="70" spans="1:16">
      <c r="B70" s="12" t="s">
        <v>385</v>
      </c>
      <c r="C70" s="248">
        <f>C39/C34</f>
        <v>5.2586107288343432E-2</v>
      </c>
      <c r="D70" s="248">
        <f t="shared" ref="D70:N70" si="22">D39/D34</f>
        <v>5.2586085402831287E-2</v>
      </c>
      <c r="E70" s="248">
        <f t="shared" si="22"/>
        <v>5.2586093645381318E-2</v>
      </c>
      <c r="F70" s="248">
        <f t="shared" si="22"/>
        <v>5.2586108892525567E-2</v>
      </c>
      <c r="G70" s="248">
        <f t="shared" si="22"/>
        <v>5.2586101283398225E-2</v>
      </c>
      <c r="H70" s="248">
        <f t="shared" si="22"/>
        <v>5.258608646970743E-2</v>
      </c>
      <c r="I70" s="248">
        <f t="shared" si="22"/>
        <v>5.2575879716356855E-2</v>
      </c>
      <c r="J70" s="248">
        <f t="shared" si="22"/>
        <v>5.2575879716356855E-2</v>
      </c>
      <c r="K70" s="248">
        <f t="shared" si="22"/>
        <v>5.2575879716356855E-2</v>
      </c>
      <c r="L70" s="248">
        <f t="shared" si="22"/>
        <v>5.2575879716356855E-2</v>
      </c>
      <c r="M70" s="248">
        <f t="shared" si="22"/>
        <v>5.2575879716356855E-2</v>
      </c>
      <c r="N70" s="248">
        <f t="shared" si="22"/>
        <v>5.2575879716356855E-2</v>
      </c>
      <c r="O70" s="79"/>
    </row>
    <row r="71" spans="1:16">
      <c r="B71" s="12" t="s">
        <v>386</v>
      </c>
      <c r="C71" s="248">
        <f>C52/C47</f>
        <v>5.7176214937423753E-2</v>
      </c>
      <c r="D71" s="248">
        <f t="shared" ref="D71:N71" si="23">D52/D47</f>
        <v>5.7176181881106666E-2</v>
      </c>
      <c r="E71" s="248">
        <f t="shared" si="23"/>
        <v>5.7176199085254467E-2</v>
      </c>
      <c r="F71" s="248">
        <f t="shared" si="23"/>
        <v>5.7176230111472236E-2</v>
      </c>
      <c r="G71" s="248">
        <f t="shared" si="23"/>
        <v>5.7185245202478176E-2</v>
      </c>
      <c r="H71" s="248">
        <f t="shared" si="23"/>
        <v>5.7176225446023278E-2</v>
      </c>
      <c r="I71" s="248">
        <f t="shared" si="23"/>
        <v>5.7122530409529006E-2</v>
      </c>
      <c r="J71" s="248">
        <f t="shared" si="23"/>
        <v>5.712253040952902E-2</v>
      </c>
      <c r="K71" s="248">
        <f t="shared" si="23"/>
        <v>5.712253040952902E-2</v>
      </c>
      <c r="L71" s="248">
        <f t="shared" si="23"/>
        <v>5.712253040952902E-2</v>
      </c>
      <c r="M71" s="248">
        <f t="shared" si="23"/>
        <v>5.712253040952902E-2</v>
      </c>
      <c r="N71" s="248">
        <f t="shared" si="23"/>
        <v>5.712253040952902E-2</v>
      </c>
      <c r="P71" s="79"/>
    </row>
    <row r="72" spans="1:16">
      <c r="B72" s="12" t="s">
        <v>387</v>
      </c>
      <c r="C72" s="248">
        <f>C67/C62</f>
        <v>0.4909999468496169</v>
      </c>
      <c r="D72" s="248">
        <f t="shared" ref="D72:N72" si="24">D67/D62</f>
        <v>0.49100022384971775</v>
      </c>
      <c r="E72" s="248">
        <f t="shared" si="24"/>
        <v>0.49100029757841629</v>
      </c>
      <c r="F72" s="248">
        <f t="shared" si="24"/>
        <v>0.49100048245085037</v>
      </c>
      <c r="G72" s="248">
        <f t="shared" si="24"/>
        <v>0.49099925132354333</v>
      </c>
      <c r="H72" s="248">
        <f t="shared" si="24"/>
        <v>0.49099967456271015</v>
      </c>
      <c r="I72" s="248">
        <f t="shared" si="24"/>
        <v>0.49090457251500325</v>
      </c>
      <c r="J72" s="248">
        <f t="shared" si="24"/>
        <v>0.49090457251500325</v>
      </c>
      <c r="K72" s="248">
        <f t="shared" si="24"/>
        <v>0.49090457251500325</v>
      </c>
      <c r="L72" s="248">
        <f t="shared" si="24"/>
        <v>0.49090457251500325</v>
      </c>
      <c r="M72" s="248">
        <f t="shared" si="24"/>
        <v>0.49090457251500325</v>
      </c>
      <c r="N72" s="248">
        <f t="shared" si="24"/>
        <v>0.49090457251500325</v>
      </c>
      <c r="P72" s="79"/>
    </row>
    <row r="73" spans="1:16">
      <c r="P73" s="79"/>
    </row>
    <row r="74" spans="1:16">
      <c r="E74" s="5"/>
      <c r="F74" s="5"/>
      <c r="G74" s="5"/>
      <c r="H74" s="5"/>
      <c r="I74" s="5"/>
      <c r="P74" s="79"/>
    </row>
    <row r="75" spans="1:16">
      <c r="E75" s="216"/>
      <c r="F75" s="5"/>
      <c r="G75" s="5"/>
      <c r="H75" s="5"/>
      <c r="I75" s="5"/>
      <c r="J75" s="213"/>
    </row>
    <row r="76" spans="1:16">
      <c r="E76" s="5"/>
      <c r="F76" s="5"/>
      <c r="G76" s="5"/>
      <c r="H76" s="5"/>
      <c r="I76" s="5"/>
    </row>
    <row r="78" spans="1:16">
      <c r="J78" s="79"/>
      <c r="K78" s="79"/>
    </row>
    <row r="79" spans="1:16">
      <c r="J79" s="79"/>
      <c r="K79" s="79"/>
    </row>
    <row r="80" spans="1:16">
      <c r="J80" s="79"/>
      <c r="K80" s="79"/>
    </row>
    <row r="81" spans="10:11">
      <c r="J81" s="79"/>
      <c r="K81" s="79"/>
    </row>
    <row r="82" spans="10:11">
      <c r="J82" s="79"/>
      <c r="K82" s="79"/>
    </row>
    <row r="83" spans="10:11">
      <c r="J83" s="79"/>
      <c r="K83" s="79"/>
    </row>
    <row r="84" spans="10:11">
      <c r="J84" s="79"/>
      <c r="K84" s="79"/>
    </row>
  </sheetData>
  <mergeCells count="4">
    <mergeCell ref="A1:O1"/>
    <mergeCell ref="A2:O2"/>
    <mergeCell ref="A3:O3"/>
    <mergeCell ref="A4:O4"/>
  </mergeCells>
  <printOptions horizontalCentered="1"/>
  <pageMargins left="0.17" right="0.17" top="0.6" bottom="0.17" header="0.18" footer="0.42"/>
  <pageSetup scale="48" orientation="landscape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view="pageBreakPreview" zoomScale="70" zoomScaleNormal="70" zoomScaleSheetLayoutView="70" workbookViewId="0">
      <pane xSplit="2" ySplit="10" topLeftCell="C11" activePane="bottomRight" state="frozen"/>
      <selection activeCell="C19" sqref="C19"/>
      <selection pane="topRight" activeCell="C19" sqref="C19"/>
      <selection pane="bottomLeft" activeCell="C19" sqref="C19"/>
      <selection pane="bottomRight" activeCell="C11" sqref="C11"/>
    </sheetView>
  </sheetViews>
  <sheetFormatPr defaultRowHeight="15"/>
  <cols>
    <col min="1" max="1" width="4.6640625" style="6" customWidth="1"/>
    <col min="2" max="2" width="40.6640625" style="6" customWidth="1"/>
    <col min="3" max="14" width="10" style="6" customWidth="1"/>
    <col min="15" max="15" width="13.88671875" style="6" customWidth="1"/>
    <col min="16" max="16" width="13.109375" style="6" bestFit="1" customWidth="1"/>
    <col min="17" max="17" width="12" style="6" bestFit="1" customWidth="1"/>
    <col min="18" max="18" width="11.44140625" style="6" bestFit="1" customWidth="1"/>
    <col min="19" max="16384" width="8.88671875" style="6"/>
  </cols>
  <sheetData>
    <row r="1" spans="1:24" s="194" customFormat="1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6"/>
      <c r="Q1" s="6"/>
      <c r="R1" s="6"/>
      <c r="S1" s="6"/>
      <c r="T1" s="6"/>
      <c r="U1" s="6"/>
      <c r="V1" s="6"/>
      <c r="W1" s="6"/>
      <c r="X1" s="6"/>
    </row>
    <row r="2" spans="1:24" s="194" customFormat="1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6"/>
      <c r="Q2" s="6"/>
      <c r="R2" s="6"/>
      <c r="S2" s="6"/>
      <c r="T2" s="6"/>
      <c r="U2" s="6"/>
      <c r="V2" s="6"/>
      <c r="W2" s="6"/>
      <c r="X2" s="6"/>
    </row>
    <row r="3" spans="1:24" s="194" customFormat="1">
      <c r="A3" s="310" t="s">
        <v>358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6"/>
      <c r="Q3" s="213"/>
      <c r="R3" s="6"/>
      <c r="S3" s="6"/>
      <c r="T3" s="6"/>
      <c r="U3" s="6"/>
      <c r="V3" s="6"/>
      <c r="W3" s="6"/>
      <c r="X3" s="6"/>
    </row>
    <row r="4" spans="1:24" s="194" customFormat="1">
      <c r="A4" s="310" t="s">
        <v>395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6"/>
      <c r="Q4" s="6"/>
      <c r="R4" s="6"/>
      <c r="S4" s="6"/>
      <c r="T4" s="6"/>
      <c r="U4" s="6"/>
      <c r="V4" s="6"/>
      <c r="W4" s="6"/>
      <c r="X4" s="6"/>
    </row>
    <row r="5" spans="1:24" s="194" customFormat="1">
      <c r="A5" s="5"/>
      <c r="B5" s="249"/>
      <c r="C5" s="249"/>
      <c r="D5" s="158"/>
      <c r="E5" s="158"/>
      <c r="F5" s="236"/>
      <c r="G5" s="158"/>
      <c r="H5" s="158"/>
      <c r="I5" s="158"/>
      <c r="J5" s="158"/>
      <c r="K5" s="158"/>
      <c r="L5" s="158"/>
      <c r="M5" s="297"/>
      <c r="N5" s="158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94" customFormat="1">
      <c r="A6" s="284" t="str">
        <f>'C.2.1 F'!A6</f>
        <v>Data:________Base Period___X____Forecasted Period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190"/>
      <c r="N6" s="6"/>
      <c r="O6" s="12" t="s">
        <v>359</v>
      </c>
      <c r="P6" s="6"/>
      <c r="Q6" s="6"/>
      <c r="R6" s="6"/>
      <c r="S6" s="6"/>
      <c r="T6" s="6"/>
      <c r="U6" s="6"/>
      <c r="V6" s="6"/>
      <c r="W6" s="6"/>
      <c r="X6" s="6"/>
    </row>
    <row r="7" spans="1:24" s="194" customFormat="1">
      <c r="A7" s="284" t="str">
        <f>'C.2.1 F'!A7</f>
        <v>Type of Filing:___X____Original________Updated ________Revised</v>
      </c>
      <c r="B7" s="5"/>
      <c r="C7" s="5"/>
      <c r="D7" s="6"/>
      <c r="E7" s="79"/>
      <c r="F7" s="6"/>
      <c r="G7" s="6"/>
      <c r="H7" s="79"/>
      <c r="I7" s="6"/>
      <c r="J7" s="6"/>
      <c r="K7" s="6"/>
      <c r="L7" s="6"/>
      <c r="M7" s="190"/>
      <c r="N7" s="57"/>
      <c r="O7" s="58" t="s">
        <v>388</v>
      </c>
      <c r="P7" s="6"/>
      <c r="Q7" s="6"/>
      <c r="R7" s="6"/>
      <c r="S7" s="6"/>
      <c r="T7" s="6"/>
      <c r="U7" s="6"/>
      <c r="V7" s="6"/>
      <c r="W7" s="6"/>
      <c r="X7" s="6"/>
    </row>
    <row r="8" spans="1:24" s="194" customFormat="1">
      <c r="A8" s="285" t="str">
        <f>'C.2.1 F'!A8</f>
        <v>Workpaper Reference No(s).____________________</v>
      </c>
      <c r="B8" s="270"/>
      <c r="C8" s="286"/>
      <c r="D8" s="15"/>
      <c r="E8" s="15"/>
      <c r="F8" s="15"/>
      <c r="G8" s="15"/>
      <c r="H8" s="15"/>
      <c r="I8" s="15"/>
      <c r="J8" s="15"/>
      <c r="K8" s="15"/>
      <c r="L8" s="3"/>
      <c r="M8" s="270"/>
      <c r="N8" s="60"/>
      <c r="O8" s="298" t="str">
        <f>LEFT(C.1!J9,15)</f>
        <v>Witness: Waller</v>
      </c>
      <c r="P8" s="6"/>
      <c r="Q8" s="6"/>
      <c r="R8" s="6"/>
      <c r="S8" s="6"/>
      <c r="T8" s="6"/>
      <c r="U8" s="6"/>
      <c r="V8" s="6"/>
      <c r="W8" s="6"/>
      <c r="X8" s="6"/>
    </row>
    <row r="9" spans="1:24" s="194" customFormat="1">
      <c r="A9" s="287" t="s">
        <v>21</v>
      </c>
      <c r="B9" s="5"/>
      <c r="C9" s="156" t="str">
        <f>'C.2.2-F 09'!D9</f>
        <v>Forecasted</v>
      </c>
      <c r="D9" s="156" t="str">
        <f>'C.2.2-F 09'!E9</f>
        <v>Forecasted</v>
      </c>
      <c r="E9" s="156" t="str">
        <f>'C.2.2-F 09'!F9</f>
        <v>Forecasted</v>
      </c>
      <c r="F9" s="156" t="str">
        <f>'C.2.2-F 09'!G9</f>
        <v>Forecasted</v>
      </c>
      <c r="G9" s="156" t="str">
        <f>'C.2.2-F 09'!H9</f>
        <v>Forecasted</v>
      </c>
      <c r="H9" s="156" t="str">
        <f>'C.2.2-F 09'!I9</f>
        <v>Forecasted</v>
      </c>
      <c r="I9" s="156" t="str">
        <f>'C.2.2-F 09'!J9</f>
        <v>Forecasted</v>
      </c>
      <c r="J9" s="156" t="str">
        <f>'C.2.2-F 09'!K9</f>
        <v>Forecasted</v>
      </c>
      <c r="K9" s="156" t="str">
        <f>'C.2.2-F 09'!L9</f>
        <v>Forecasted</v>
      </c>
      <c r="L9" s="156" t="str">
        <f>'C.2.2-F 09'!M9</f>
        <v>Forecasted</v>
      </c>
      <c r="M9" s="156" t="str">
        <f>'C.2.2-F 09'!N9</f>
        <v>Forecasted</v>
      </c>
      <c r="N9" s="156" t="str">
        <f>'C.2.2-F 09'!O9</f>
        <v>Forecasted</v>
      </c>
      <c r="O9" s="239"/>
      <c r="P9" s="6"/>
      <c r="Q9" s="6"/>
      <c r="R9" s="6"/>
      <c r="S9" s="6"/>
      <c r="T9" s="6"/>
      <c r="U9" s="6"/>
      <c r="V9" s="6"/>
      <c r="W9" s="6"/>
      <c r="X9" s="6"/>
    </row>
    <row r="10" spans="1:24" s="194" customFormat="1">
      <c r="A10" s="289" t="s">
        <v>24</v>
      </c>
      <c r="B10" s="290" t="s">
        <v>362</v>
      </c>
      <c r="C10" s="299">
        <f>'C.2.2-F 09'!D10</f>
        <v>42551</v>
      </c>
      <c r="D10" s="299">
        <f>'C.2.2-F 09'!E10</f>
        <v>42582</v>
      </c>
      <c r="E10" s="299">
        <f>'C.2.2-F 09'!F10</f>
        <v>42613</v>
      </c>
      <c r="F10" s="299">
        <f>'C.2.2-F 09'!G10</f>
        <v>42643</v>
      </c>
      <c r="G10" s="299">
        <f>'C.2.2-F 09'!H10</f>
        <v>42674</v>
      </c>
      <c r="H10" s="299">
        <f>'C.2.2-F 09'!I10</f>
        <v>42704</v>
      </c>
      <c r="I10" s="299">
        <f>'C.2.2-F 09'!J10</f>
        <v>42735</v>
      </c>
      <c r="J10" s="299">
        <f>'C.2.2-F 09'!K10</f>
        <v>42766</v>
      </c>
      <c r="K10" s="299">
        <f>'C.2.2-F 09'!L10</f>
        <v>42794</v>
      </c>
      <c r="L10" s="299">
        <f>'C.2.2-F 09'!M10</f>
        <v>42825</v>
      </c>
      <c r="M10" s="299">
        <f>'C.2.2-F 09'!N10</f>
        <v>42855</v>
      </c>
      <c r="N10" s="299">
        <f>'C.2.2-F 09'!O10</f>
        <v>42886</v>
      </c>
      <c r="O10" s="240" t="str">
        <f>'C.2.2 B 09'!P10</f>
        <v>Total</v>
      </c>
      <c r="P10" s="210"/>
      <c r="R10" s="6"/>
      <c r="S10" s="6"/>
      <c r="T10" s="6"/>
      <c r="U10" s="6"/>
      <c r="V10" s="6"/>
      <c r="W10" s="6"/>
      <c r="X10" s="6"/>
    </row>
    <row r="11" spans="1:24" ht="15.75">
      <c r="A11" s="5"/>
      <c r="B11" s="29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24" ht="15.75">
      <c r="A12" s="5"/>
      <c r="B12" s="291" t="s">
        <v>363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24">
      <c r="A13" s="4">
        <v>1</v>
      </c>
      <c r="B13" s="6" t="s">
        <v>364</v>
      </c>
      <c r="C13" s="292">
        <f>'C.2.3 B'!F12*1.03</f>
        <v>15103.775799999996</v>
      </c>
      <c r="D13" s="292">
        <f>'C.2.3 B'!G12*1.03</f>
        <v>18811.0857</v>
      </c>
      <c r="E13" s="292">
        <f>'C.2.3 B'!H12*1.03</f>
        <v>19664.306800000002</v>
      </c>
      <c r="F13" s="292">
        <f>'C.2.3 B'!I12*1.03</f>
        <v>19578.9385399534</v>
      </c>
      <c r="G13" s="292">
        <f>'C.2.3 B'!J12*1.03</f>
        <v>57765.713394053055</v>
      </c>
      <c r="H13" s="292">
        <f>'C.2.3 B'!K12*1.03</f>
        <v>56645.920753523591</v>
      </c>
      <c r="I13" s="292">
        <f>'C.2.3 B'!L12*1.03</f>
        <v>21039.180957640179</v>
      </c>
      <c r="J13" s="292">
        <f>'C.2.3 B'!M12*1.03</f>
        <v>54281.230433870704</v>
      </c>
      <c r="K13" s="292">
        <f>'C.2.3 B'!N12*1.03</f>
        <v>33168.216994437375</v>
      </c>
      <c r="L13" s="292">
        <f>'C.2.3 B'!C12*1.03*1.03</f>
        <v>31996.637910000005</v>
      </c>
      <c r="M13" s="292">
        <f>'C.2.3 B'!D12*1.03*1.03</f>
        <v>19204.125357000001</v>
      </c>
      <c r="N13" s="292">
        <f>'C.2.3 B'!E12*1.03*1.03</f>
        <v>53189.049002</v>
      </c>
      <c r="O13" s="292">
        <f t="shared" ref="O13:O23" si="0">SUM(C13:N13)</f>
        <v>400448.18164247827</v>
      </c>
      <c r="P13" s="79"/>
      <c r="S13" s="213"/>
    </row>
    <row r="14" spans="1:24">
      <c r="A14" s="4">
        <f>A13+1</f>
        <v>2</v>
      </c>
      <c r="B14" s="6" t="s">
        <v>365</v>
      </c>
      <c r="C14" s="39">
        <f>'C.2.3 B'!F13*1.03</f>
        <v>11.762600000000001</v>
      </c>
      <c r="D14" s="39">
        <f>'C.2.3 B'!G13*1.03</f>
        <v>2.0703000000000009</v>
      </c>
      <c r="E14" s="39">
        <f>'C.2.3 B'!H13*1.03</f>
        <v>0.98880000000000046</v>
      </c>
      <c r="F14" s="39">
        <f>'C.2.3 B'!I13*1.03</f>
        <v>-38.12409947402513</v>
      </c>
      <c r="G14" s="39">
        <f>'C.2.3 B'!J13*1.03</f>
        <v>-112.48136864666546</v>
      </c>
      <c r="H14" s="39">
        <f>'C.2.3 B'!K13*1.03</f>
        <v>-110.30090896900164</v>
      </c>
      <c r="I14" s="39">
        <f>'C.2.3 B'!L13*1.03</f>
        <v>-40.967482789953053</v>
      </c>
      <c r="J14" s="39">
        <f>'C.2.3 B'!M13*1.03</f>
        <v>-105.6963851441914</v>
      </c>
      <c r="K14" s="39">
        <f>'C.2.3 B'!N13*1.03</f>
        <v>-64.585135782084677</v>
      </c>
      <c r="L14" s="39">
        <f>'C.2.3 B'!C13*1.03*1.03</f>
        <v>-249.01444800000004</v>
      </c>
      <c r="M14" s="39">
        <f>'C.2.3 B'!D13*1.03*1.03</f>
        <v>-86.728575000000006</v>
      </c>
      <c r="N14" s="39">
        <f>'C.2.3 B'!E13*1.03*1.03</f>
        <v>9.7496710000000046</v>
      </c>
      <c r="O14" s="39">
        <f t="shared" si="0"/>
        <v>-783.32703280592125</v>
      </c>
      <c r="P14" s="293"/>
    </row>
    <row r="15" spans="1:24">
      <c r="A15" s="4">
        <f t="shared" ref="A15:A68" si="1">A14+1</f>
        <v>3</v>
      </c>
      <c r="B15" s="6" t="s">
        <v>366</v>
      </c>
      <c r="C15" s="39">
        <f>'C.2.3 B'!F14*1.03</f>
        <v>28.376499999999997</v>
      </c>
      <c r="D15" s="39">
        <f>'C.2.3 B'!G14*1.03</f>
        <v>9.8983000000000008</v>
      </c>
      <c r="E15" s="39">
        <f>'C.2.3 B'!H14*1.03</f>
        <v>7.1894</v>
      </c>
      <c r="F15" s="39">
        <f>'C.2.3 B'!I14*1.03</f>
        <v>124.97555952062463</v>
      </c>
      <c r="G15" s="39">
        <f>'C.2.3 B'!J14*1.03</f>
        <v>368.72797459361163</v>
      </c>
      <c r="H15" s="39">
        <f>'C.2.3 B'!K14*1.03</f>
        <v>361.58015544541479</v>
      </c>
      <c r="I15" s="39">
        <f>'C.2.3 B'!L14*1.03</f>
        <v>134.29652514977505</v>
      </c>
      <c r="J15" s="39">
        <f>'C.2.3 B'!M14*1.03</f>
        <v>346.48595127348995</v>
      </c>
      <c r="K15" s="39">
        <f>'C.2.3 B'!N14*1.03</f>
        <v>211.7181413447129</v>
      </c>
      <c r="L15" s="39">
        <f>'C.2.3 B'!C14*1.03*1.03</f>
        <v>1911.1158690000002</v>
      </c>
      <c r="M15" s="39">
        <f>'C.2.3 B'!D14*1.03*1.03</f>
        <v>-927.06746499999997</v>
      </c>
      <c r="N15" s="39">
        <f>'C.2.3 B'!E14*1.03*1.03</f>
        <v>-12.274612999999999</v>
      </c>
      <c r="O15" s="39">
        <f t="shared" si="0"/>
        <v>2565.022298327629</v>
      </c>
      <c r="P15" s="293"/>
    </row>
    <row r="16" spans="1:24">
      <c r="A16" s="4">
        <f t="shared" si="1"/>
        <v>4</v>
      </c>
      <c r="B16" s="6" t="s">
        <v>367</v>
      </c>
      <c r="C16" s="39">
        <f>'C.2.3 B'!F15*1.03</f>
        <v>77.260300000000001</v>
      </c>
      <c r="D16" s="39">
        <f>'C.2.3 B'!G15*1.03</f>
        <v>101.661</v>
      </c>
      <c r="E16" s="39">
        <f>'C.2.3 B'!H15*1.03</f>
        <v>-335.26499999999999</v>
      </c>
      <c r="F16" s="39">
        <f>'C.2.3 B'!I15</f>
        <v>0</v>
      </c>
      <c r="G16" s="39">
        <f>'C.2.3 B'!J15</f>
        <v>0</v>
      </c>
      <c r="H16" s="39">
        <f>'C.2.3 B'!K15</f>
        <v>0</v>
      </c>
      <c r="I16" s="39">
        <f>'C.2.3 B'!L15</f>
        <v>0</v>
      </c>
      <c r="J16" s="39">
        <f>'C.2.3 B'!M15</f>
        <v>0</v>
      </c>
      <c r="K16" s="39">
        <f>'C.2.3 B'!N15</f>
        <v>0</v>
      </c>
      <c r="L16" s="296">
        <f>'C.2.3 B'!C15*1.03</f>
        <v>0</v>
      </c>
      <c r="M16" s="296">
        <f>'C.2.3 B'!M15</f>
        <v>0</v>
      </c>
      <c r="N16" s="296">
        <f>'C.2.3 B'!N15</f>
        <v>0</v>
      </c>
      <c r="O16" s="39">
        <f t="shared" si="0"/>
        <v>-156.34369999999998</v>
      </c>
      <c r="P16" s="79"/>
      <c r="R16" s="260"/>
    </row>
    <row r="17" spans="1:18">
      <c r="A17" s="4">
        <f t="shared" si="1"/>
        <v>5</v>
      </c>
      <c r="B17" s="6" t="s">
        <v>368</v>
      </c>
      <c r="C17" s="39">
        <v>395588</v>
      </c>
      <c r="D17" s="39">
        <v>395588</v>
      </c>
      <c r="E17" s="39">
        <v>395588</v>
      </c>
      <c r="F17" s="39">
        <v>395588</v>
      </c>
      <c r="G17" s="39">
        <v>395588</v>
      </c>
      <c r="H17" s="39">
        <v>395588</v>
      </c>
      <c r="I17" s="39">
        <v>395588</v>
      </c>
      <c r="J17" s="39">
        <v>395588</v>
      </c>
      <c r="K17" s="39">
        <v>395588</v>
      </c>
      <c r="L17" s="39">
        <v>395588</v>
      </c>
      <c r="M17" s="39">
        <v>395588</v>
      </c>
      <c r="N17" s="39">
        <v>395588</v>
      </c>
      <c r="O17" s="39">
        <f>SUM(C17:N17)</f>
        <v>4747056</v>
      </c>
      <c r="P17" s="300"/>
      <c r="Q17" s="300"/>
      <c r="R17" s="79"/>
    </row>
    <row r="18" spans="1:18">
      <c r="A18" s="4">
        <f t="shared" si="1"/>
        <v>6</v>
      </c>
      <c r="B18" s="6" t="s">
        <v>369</v>
      </c>
      <c r="C18" s="39">
        <f>'C.2.3 B'!F17</f>
        <v>0</v>
      </c>
      <c r="D18" s="39">
        <f>'C.2.3 B'!G17</f>
        <v>0</v>
      </c>
      <c r="E18" s="39">
        <f>'C.2.3 B'!H17</f>
        <v>0</v>
      </c>
      <c r="F18" s="39">
        <f>'C.2.3 B'!I17</f>
        <v>0</v>
      </c>
      <c r="G18" s="39">
        <f>'C.2.3 B'!J17</f>
        <v>0</v>
      </c>
      <c r="H18" s="39">
        <f>'C.2.3 B'!K17</f>
        <v>0</v>
      </c>
      <c r="I18" s="39">
        <f>'C.2.3 B'!L17</f>
        <v>0</v>
      </c>
      <c r="J18" s="39">
        <f>'C.2.3 B'!M17</f>
        <v>0</v>
      </c>
      <c r="K18" s="39">
        <f>'C.2.3 B'!N17</f>
        <v>0</v>
      </c>
      <c r="L18" s="39">
        <f>'C.2.3 B'!C17</f>
        <v>0</v>
      </c>
      <c r="M18" s="39">
        <f>'C.2.3 B'!D17</f>
        <v>63869.85</v>
      </c>
      <c r="N18" s="39">
        <f>'C.2.3 B'!E17</f>
        <v>0</v>
      </c>
      <c r="O18" s="39">
        <f t="shared" si="0"/>
        <v>63869.85</v>
      </c>
      <c r="Q18" s="301"/>
    </row>
    <row r="19" spans="1:18">
      <c r="A19" s="4">
        <f t="shared" si="1"/>
        <v>7</v>
      </c>
      <c r="B19" s="6" t="s">
        <v>370</v>
      </c>
      <c r="C19" s="39">
        <f>'C.2.3 B'!F18</f>
        <v>0</v>
      </c>
      <c r="D19" s="39">
        <f>'C.2.3 B'!G18</f>
        <v>17414.849999999999</v>
      </c>
      <c r="E19" s="39">
        <f>'C.2.3 B'!H18</f>
        <v>192</v>
      </c>
      <c r="F19" s="39">
        <f>'C.2.3 B'!I18</f>
        <v>76</v>
      </c>
      <c r="G19" s="39">
        <f>'C.2.3 B'!J18</f>
        <v>14234</v>
      </c>
      <c r="H19" s="39">
        <f>'C.2.3 B'!K18</f>
        <v>55</v>
      </c>
      <c r="I19" s="39">
        <f>'C.2.3 B'!L18</f>
        <v>600</v>
      </c>
      <c r="J19" s="39">
        <f>'C.2.3 B'!M18</f>
        <v>25776</v>
      </c>
      <c r="K19" s="39">
        <f>'C.2.3 B'!N18</f>
        <v>227</v>
      </c>
      <c r="L19" s="39">
        <f>'C.2.3 B'!C18</f>
        <v>70.2</v>
      </c>
      <c r="M19" s="39">
        <f>'C.2.3 B'!D18</f>
        <v>50946.46</v>
      </c>
      <c r="N19" s="39">
        <f>'C.2.3 B'!E18</f>
        <v>35.5</v>
      </c>
      <c r="O19" s="39">
        <f t="shared" si="0"/>
        <v>109627.01</v>
      </c>
      <c r="P19" s="79"/>
      <c r="Q19" s="301"/>
    </row>
    <row r="20" spans="1:18">
      <c r="A20" s="4">
        <f t="shared" si="1"/>
        <v>8</v>
      </c>
      <c r="B20" s="6" t="s">
        <v>371</v>
      </c>
      <c r="C20" s="39">
        <f>$O20/12</f>
        <v>26424.637504422586</v>
      </c>
      <c r="D20" s="39">
        <f>C20</f>
        <v>26424.637504422586</v>
      </c>
      <c r="E20" s="39">
        <f t="shared" ref="E20:N20" si="2">D20</f>
        <v>26424.637504422586</v>
      </c>
      <c r="F20" s="39">
        <f t="shared" si="2"/>
        <v>26424.637504422586</v>
      </c>
      <c r="G20" s="39">
        <f t="shared" si="2"/>
        <v>26424.637504422586</v>
      </c>
      <c r="H20" s="39">
        <f t="shared" si="2"/>
        <v>26424.637504422586</v>
      </c>
      <c r="I20" s="39">
        <f t="shared" si="2"/>
        <v>26424.637504422586</v>
      </c>
      <c r="J20" s="39">
        <f t="shared" si="2"/>
        <v>26424.637504422586</v>
      </c>
      <c r="K20" s="39">
        <f t="shared" si="2"/>
        <v>26424.637504422586</v>
      </c>
      <c r="L20" s="39">
        <f t="shared" si="2"/>
        <v>26424.637504422586</v>
      </c>
      <c r="M20" s="39">
        <f t="shared" si="2"/>
        <v>26424.637504422586</v>
      </c>
      <c r="N20" s="39">
        <f t="shared" si="2"/>
        <v>26424.637504422586</v>
      </c>
      <c r="O20" s="39">
        <v>317095.65005307103</v>
      </c>
      <c r="P20" s="302"/>
      <c r="Q20" s="79"/>
      <c r="R20" s="79"/>
    </row>
    <row r="21" spans="1:18">
      <c r="A21" s="4">
        <f t="shared" si="1"/>
        <v>9</v>
      </c>
      <c r="B21" s="6" t="s">
        <v>372</v>
      </c>
      <c r="C21" s="39">
        <f>C53</f>
        <v>14261.536232004686</v>
      </c>
      <c r="D21" s="39">
        <f t="shared" ref="D21:N21" si="3">D53</f>
        <v>14543.112783133436</v>
      </c>
      <c r="E21" s="39">
        <f t="shared" si="3"/>
        <v>13294.226049643432</v>
      </c>
      <c r="F21" s="39">
        <f t="shared" si="3"/>
        <v>12896.975292314799</v>
      </c>
      <c r="G21" s="39">
        <f t="shared" si="3"/>
        <v>13765.539129239958</v>
      </c>
      <c r="H21" s="39">
        <f t="shared" si="3"/>
        <v>13765.539129239958</v>
      </c>
      <c r="I21" s="39">
        <f t="shared" si="3"/>
        <v>13765.539129239958</v>
      </c>
      <c r="J21" s="39">
        <f t="shared" si="3"/>
        <v>13765.539129239958</v>
      </c>
      <c r="K21" s="39">
        <f t="shared" si="3"/>
        <v>13765.539129239958</v>
      </c>
      <c r="L21" s="39">
        <f t="shared" si="3"/>
        <v>16682.105941053505</v>
      </c>
      <c r="M21" s="39">
        <f t="shared" si="3"/>
        <v>15202.17086682479</v>
      </c>
      <c r="N21" s="39">
        <f t="shared" si="3"/>
        <v>17948.780824843889</v>
      </c>
      <c r="O21" s="39">
        <f t="shared" si="0"/>
        <v>173656.60363601832</v>
      </c>
      <c r="P21" s="300"/>
      <c r="Q21" s="79"/>
    </row>
    <row r="22" spans="1:18">
      <c r="A22" s="4">
        <f t="shared" si="1"/>
        <v>10</v>
      </c>
      <c r="B22" s="6" t="s">
        <v>373</v>
      </c>
      <c r="C22" s="39">
        <f>C40</f>
        <v>15573.382982476824</v>
      </c>
      <c r="D22" s="39">
        <f t="shared" ref="D22:N22" si="4">D40</f>
        <v>15890.23039120604</v>
      </c>
      <c r="E22" s="39">
        <f t="shared" si="4"/>
        <v>14515.792963421438</v>
      </c>
      <c r="F22" s="39">
        <f t="shared" si="4"/>
        <v>13267.074728747191</v>
      </c>
      <c r="G22" s="39">
        <f t="shared" si="4"/>
        <v>14234.155186989085</v>
      </c>
      <c r="H22" s="39">
        <f t="shared" si="4"/>
        <v>14234.155186989085</v>
      </c>
      <c r="I22" s="39">
        <f t="shared" si="4"/>
        <v>14234.155186989085</v>
      </c>
      <c r="J22" s="39">
        <f t="shared" si="4"/>
        <v>14234.155186989085</v>
      </c>
      <c r="K22" s="39">
        <f t="shared" si="4"/>
        <v>14234.155186989085</v>
      </c>
      <c r="L22" s="39">
        <f t="shared" si="4"/>
        <v>17504.248497276905</v>
      </c>
      <c r="M22" s="39">
        <f t="shared" si="4"/>
        <v>16224.270154340778</v>
      </c>
      <c r="N22" s="39">
        <f t="shared" si="4"/>
        <v>19003.993967217466</v>
      </c>
      <c r="O22" s="39">
        <f t="shared" si="0"/>
        <v>183149.76961963205</v>
      </c>
      <c r="P22" s="300"/>
      <c r="Q22" s="79"/>
    </row>
    <row r="23" spans="1:18">
      <c r="A23" s="4">
        <f t="shared" si="1"/>
        <v>11</v>
      </c>
      <c r="B23" s="6" t="s">
        <v>374</v>
      </c>
      <c r="C23" s="39">
        <f>C68</f>
        <v>7009.8522070450899</v>
      </c>
      <c r="D23" s="39">
        <f t="shared" ref="D23:N23" si="5">D68</f>
        <v>7898.2622899225053</v>
      </c>
      <c r="E23" s="39">
        <f t="shared" si="5"/>
        <v>8180.7182755897866</v>
      </c>
      <c r="F23" s="39">
        <f t="shared" si="5"/>
        <v>7547.9845230236442</v>
      </c>
      <c r="G23" s="39">
        <f t="shared" si="5"/>
        <v>8158.3450444956416</v>
      </c>
      <c r="H23" s="39">
        <f t="shared" si="5"/>
        <v>8158.3450444956416</v>
      </c>
      <c r="I23" s="39">
        <f t="shared" si="5"/>
        <v>8158.3450444956416</v>
      </c>
      <c r="J23" s="39">
        <f t="shared" si="5"/>
        <v>8158.3450444956416</v>
      </c>
      <c r="K23" s="39">
        <f t="shared" si="5"/>
        <v>8158.3450444956416</v>
      </c>
      <c r="L23" s="39">
        <f t="shared" si="5"/>
        <v>9546.2236807946865</v>
      </c>
      <c r="M23" s="39">
        <f t="shared" si="5"/>
        <v>7686.9705290985303</v>
      </c>
      <c r="N23" s="39">
        <f t="shared" si="5"/>
        <v>15029.999448602497</v>
      </c>
      <c r="O23" s="39">
        <f t="shared" si="0"/>
        <v>103691.73617655494</v>
      </c>
      <c r="P23" s="300"/>
      <c r="Q23" s="79"/>
    </row>
    <row r="24" spans="1:18">
      <c r="A24" s="4">
        <f t="shared" si="1"/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8">
      <c r="A25" s="4">
        <f t="shared" si="1"/>
        <v>13</v>
      </c>
      <c r="B25" s="6" t="s">
        <v>241</v>
      </c>
      <c r="C25" s="294">
        <f t="shared" ref="C25:N25" si="6">SUM(C13:C24)</f>
        <v>474078.58412594919</v>
      </c>
      <c r="D25" s="294">
        <f t="shared" si="6"/>
        <v>496683.80826868454</v>
      </c>
      <c r="E25" s="294">
        <f t="shared" si="6"/>
        <v>477532.59479307721</v>
      </c>
      <c r="F25" s="294">
        <f t="shared" si="6"/>
        <v>475466.46204850817</v>
      </c>
      <c r="G25" s="294">
        <f t="shared" si="6"/>
        <v>530426.63686514727</v>
      </c>
      <c r="H25" s="294">
        <f t="shared" si="6"/>
        <v>515122.87686514732</v>
      </c>
      <c r="I25" s="294">
        <f t="shared" si="6"/>
        <v>479903.18686514732</v>
      </c>
      <c r="J25" s="294">
        <f t="shared" si="6"/>
        <v>538468.69686514733</v>
      </c>
      <c r="K25" s="294">
        <f t="shared" si="6"/>
        <v>491713.02686514729</v>
      </c>
      <c r="L25" s="294">
        <f t="shared" si="6"/>
        <v>499474.1549545477</v>
      </c>
      <c r="M25" s="294">
        <f t="shared" si="6"/>
        <v>594132.68837168661</v>
      </c>
      <c r="N25" s="294">
        <f t="shared" si="6"/>
        <v>527217.4358050864</v>
      </c>
      <c r="O25" s="294">
        <f>SUM(C25:N25)</f>
        <v>6100220.1526932763</v>
      </c>
      <c r="P25" s="301"/>
    </row>
    <row r="26" spans="1:18">
      <c r="A26" s="4">
        <f t="shared" si="1"/>
        <v>14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8" ht="15.75">
      <c r="A27" s="4">
        <f t="shared" si="1"/>
        <v>15</v>
      </c>
      <c r="B27" s="291" t="s">
        <v>375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8">
      <c r="A28" s="4">
        <f t="shared" si="1"/>
        <v>16</v>
      </c>
      <c r="B28" s="6" t="s">
        <v>364</v>
      </c>
      <c r="C28" s="292">
        <f>'C.2.3 B'!F27*1.03</f>
        <v>224385.68540000005</v>
      </c>
      <c r="D28" s="292">
        <f>'C.2.3 B'!G27*1.03</f>
        <v>230545.75490000012</v>
      </c>
      <c r="E28" s="292">
        <f>'C.2.3 B'!H27*1.03</f>
        <v>204345.17110000001</v>
      </c>
      <c r="F28" s="292">
        <f>'C.2.3 B'!I27*1.03</f>
        <v>180562.53926843253</v>
      </c>
      <c r="G28" s="292">
        <f>'C.2.3 B'!J27*1.03</f>
        <v>198877.52493972209</v>
      </c>
      <c r="H28" s="292">
        <f>'C.2.3 B'!K27*1.03</f>
        <v>198877.52493972209</v>
      </c>
      <c r="I28" s="292">
        <f>'C.2.3 B'!L27*1.03</f>
        <v>198877.52493972209</v>
      </c>
      <c r="J28" s="292">
        <f>'C.2.3 B'!M27*1.03</f>
        <v>198877.52493972209</v>
      </c>
      <c r="K28" s="292">
        <f>'C.2.3 B'!N27*1.03</f>
        <v>198877.52493972209</v>
      </c>
      <c r="L28" s="292">
        <f>'C.2.3 B'!C27*1.03*1.03</f>
        <v>261049.38247199994</v>
      </c>
      <c r="M28" s="292">
        <f>'C.2.3 B'!D27*1.03*1.03</f>
        <v>236704.02962500008</v>
      </c>
      <c r="N28" s="292">
        <f>'C.2.3 B'!E27*1.03*1.03</f>
        <v>289574.73436400021</v>
      </c>
      <c r="O28" s="292">
        <f t="shared" ref="O28:O35" si="7">SUM(C28:N28)</f>
        <v>2621554.9218280436</v>
      </c>
    </row>
    <row r="29" spans="1:18">
      <c r="A29" s="4">
        <f t="shared" si="1"/>
        <v>17</v>
      </c>
      <c r="B29" s="6" t="s">
        <v>365</v>
      </c>
      <c r="C29" s="39">
        <f>'C.2.3 B'!F28*1.03</f>
        <v>175.1309</v>
      </c>
      <c r="D29" s="39">
        <f>'C.2.3 B'!G28*1.03</f>
        <v>182.03190000000001</v>
      </c>
      <c r="E29" s="39">
        <f>'C.2.3 B'!H28*1.03</f>
        <v>160.74179999999996</v>
      </c>
      <c r="F29" s="39">
        <f>'C.2.3 B'!I28*1.03</f>
        <v>117.24882031931503</v>
      </c>
      <c r="G29" s="39">
        <f>'C.2.3 B'!J28*1.03</f>
        <v>129.14171057675333</v>
      </c>
      <c r="H29" s="39">
        <f>'C.2.3 B'!K28*1.03</f>
        <v>129.14171057675333</v>
      </c>
      <c r="I29" s="39">
        <f>'C.2.3 B'!L28*1.03</f>
        <v>129.14171057675333</v>
      </c>
      <c r="J29" s="39">
        <f>'C.2.3 B'!M28*1.03</f>
        <v>129.14171057675333</v>
      </c>
      <c r="K29" s="39">
        <f>'C.2.3 B'!N28*1.03</f>
        <v>129.14171057675333</v>
      </c>
      <c r="L29" s="39">
        <f>'C.2.3 B'!L28*1.03*1.03</f>
        <v>133.01596189405592</v>
      </c>
      <c r="M29" s="39">
        <f>'C.2.3 B'!M28*1.03*1.03</f>
        <v>133.01596189405592</v>
      </c>
      <c r="N29" s="39">
        <f>'C.2.3 B'!N28*1.03*1.03</f>
        <v>133.01596189405592</v>
      </c>
      <c r="O29" s="39">
        <f t="shared" si="7"/>
        <v>1679.9098588852492</v>
      </c>
    </row>
    <row r="30" spans="1:18">
      <c r="A30" s="4">
        <f t="shared" si="1"/>
        <v>18</v>
      </c>
      <c r="B30" s="6" t="s">
        <v>366</v>
      </c>
      <c r="C30" s="39">
        <f>'C.2.3 B'!F29*1.03</f>
        <v>646.93269999999995</v>
      </c>
      <c r="D30" s="39">
        <f>'C.2.3 B'!G29*1.03</f>
        <v>506.44069999999999</v>
      </c>
      <c r="E30" s="39">
        <f>'C.2.3 B'!H29*1.03</f>
        <v>586.33780000000013</v>
      </c>
      <c r="F30" s="39">
        <f>'C.2.3 B'!I29*1.03</f>
        <v>661.68104732578547</v>
      </c>
      <c r="G30" s="39">
        <f>'C.2.3 B'!J29*1.03</f>
        <v>728.79728832370063</v>
      </c>
      <c r="H30" s="39">
        <f>'C.2.3 B'!K29*1.03</f>
        <v>728.79728832370063</v>
      </c>
      <c r="I30" s="39">
        <f>'C.2.3 B'!L29*1.03</f>
        <v>728.79728832370063</v>
      </c>
      <c r="J30" s="39">
        <f>'C.2.3 B'!M29*1.03</f>
        <v>728.79728832370063</v>
      </c>
      <c r="K30" s="39">
        <f>'C.2.3 B'!N29*1.03</f>
        <v>728.79728832370063</v>
      </c>
      <c r="L30" s="39">
        <f>'C.2.3 B'!L29*1.03*1.03</f>
        <v>750.66120697341171</v>
      </c>
      <c r="M30" s="39">
        <f>'C.2.3 B'!M29*1.03*1.03</f>
        <v>750.66120697341171</v>
      </c>
      <c r="N30" s="39">
        <f>'C.2.3 B'!N29*1.03*1.03</f>
        <v>750.66120697341171</v>
      </c>
      <c r="O30" s="39">
        <f t="shared" si="7"/>
        <v>8297.3623098645239</v>
      </c>
    </row>
    <row r="31" spans="1:18">
      <c r="A31" s="4">
        <f t="shared" si="1"/>
        <v>19</v>
      </c>
      <c r="B31" s="6" t="s">
        <v>376</v>
      </c>
      <c r="C31" s="39">
        <v>71000</v>
      </c>
      <c r="D31" s="39">
        <v>71000</v>
      </c>
      <c r="E31" s="39">
        <v>71000</v>
      </c>
      <c r="F31" s="39">
        <v>71000</v>
      </c>
      <c r="G31" s="39">
        <v>71000</v>
      </c>
      <c r="H31" s="39">
        <v>71000</v>
      </c>
      <c r="I31" s="39">
        <v>71000</v>
      </c>
      <c r="J31" s="39">
        <v>71000</v>
      </c>
      <c r="K31" s="39">
        <v>71000</v>
      </c>
      <c r="L31" s="39">
        <v>71000</v>
      </c>
      <c r="M31" s="39">
        <v>71000</v>
      </c>
      <c r="N31" s="39">
        <v>71000</v>
      </c>
      <c r="O31" s="39">
        <f>SUM(C31:N31)</f>
        <v>852000</v>
      </c>
      <c r="P31" s="300"/>
      <c r="Q31" s="300"/>
      <c r="R31" s="79"/>
    </row>
    <row r="32" spans="1:18">
      <c r="A32" s="4">
        <f t="shared" si="1"/>
        <v>20</v>
      </c>
      <c r="B32" s="6" t="s">
        <v>377</v>
      </c>
      <c r="C32" s="39">
        <f>'C.2.3 B'!N31</f>
        <v>0</v>
      </c>
      <c r="D32" s="39">
        <f>C32</f>
        <v>0</v>
      </c>
      <c r="E32" s="39">
        <f t="shared" ref="E32:N33" si="8">D32</f>
        <v>0</v>
      </c>
      <c r="F32" s="39">
        <f t="shared" si="8"/>
        <v>0</v>
      </c>
      <c r="G32" s="39">
        <f t="shared" si="8"/>
        <v>0</v>
      </c>
      <c r="H32" s="39">
        <f t="shared" si="8"/>
        <v>0</v>
      </c>
      <c r="I32" s="39">
        <f t="shared" si="8"/>
        <v>0</v>
      </c>
      <c r="J32" s="39">
        <f t="shared" si="8"/>
        <v>0</v>
      </c>
      <c r="K32" s="39">
        <f t="shared" si="8"/>
        <v>0</v>
      </c>
      <c r="L32" s="39">
        <f t="shared" si="8"/>
        <v>0</v>
      </c>
      <c r="M32" s="39">
        <f t="shared" si="8"/>
        <v>0</v>
      </c>
      <c r="N32" s="39">
        <f t="shared" si="8"/>
        <v>0</v>
      </c>
      <c r="O32" s="39">
        <f t="shared" si="7"/>
        <v>0</v>
      </c>
    </row>
    <row r="33" spans="1:18">
      <c r="A33" s="4">
        <f t="shared" si="1"/>
        <v>21</v>
      </c>
      <c r="B33" s="6" t="s">
        <v>378</v>
      </c>
      <c r="C33" s="39">
        <f>'C.2.3 B'!N32</f>
        <v>0</v>
      </c>
      <c r="D33" s="39">
        <f>C33</f>
        <v>0</v>
      </c>
      <c r="E33" s="39">
        <f t="shared" si="8"/>
        <v>0</v>
      </c>
      <c r="F33" s="39">
        <f t="shared" si="8"/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0</v>
      </c>
      <c r="K33" s="39">
        <f t="shared" si="8"/>
        <v>0</v>
      </c>
      <c r="L33" s="39">
        <f t="shared" si="8"/>
        <v>0</v>
      </c>
      <c r="M33" s="39">
        <f t="shared" si="8"/>
        <v>0</v>
      </c>
      <c r="N33" s="39">
        <f t="shared" si="8"/>
        <v>0</v>
      </c>
      <c r="O33" s="39">
        <f t="shared" si="7"/>
        <v>0</v>
      </c>
    </row>
    <row r="34" spans="1:18">
      <c r="A34" s="4">
        <f t="shared" si="1"/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8">
      <c r="A35" s="4">
        <f t="shared" si="1"/>
        <v>23</v>
      </c>
      <c r="B35" s="6" t="s">
        <v>379</v>
      </c>
      <c r="C35" s="294">
        <f t="shared" ref="C35:N35" si="9">SUM(C28:C34)</f>
        <v>296207.74900000007</v>
      </c>
      <c r="D35" s="294">
        <f t="shared" si="9"/>
        <v>302234.22750000015</v>
      </c>
      <c r="E35" s="294">
        <f t="shared" si="9"/>
        <v>276092.25069999998</v>
      </c>
      <c r="F35" s="294">
        <f t="shared" si="9"/>
        <v>252341.46913607762</v>
      </c>
      <c r="G35" s="294">
        <f t="shared" si="9"/>
        <v>270735.4639386225</v>
      </c>
      <c r="H35" s="294">
        <f t="shared" si="9"/>
        <v>270735.4639386225</v>
      </c>
      <c r="I35" s="294">
        <f t="shared" si="9"/>
        <v>270735.4639386225</v>
      </c>
      <c r="J35" s="294">
        <f t="shared" si="9"/>
        <v>270735.4639386225</v>
      </c>
      <c r="K35" s="294">
        <f t="shared" si="9"/>
        <v>270735.4639386225</v>
      </c>
      <c r="L35" s="294">
        <f t="shared" si="9"/>
        <v>332933.0596408674</v>
      </c>
      <c r="M35" s="294">
        <f t="shared" si="9"/>
        <v>308587.70679386758</v>
      </c>
      <c r="N35" s="294">
        <f t="shared" si="9"/>
        <v>361458.4115328677</v>
      </c>
      <c r="O35" s="294">
        <f t="shared" si="7"/>
        <v>3483532.1939967931</v>
      </c>
    </row>
    <row r="36" spans="1:18">
      <c r="A36" s="4">
        <f t="shared" si="1"/>
        <v>24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5"/>
    </row>
    <row r="37" spans="1:18">
      <c r="A37" s="4">
        <f t="shared" si="1"/>
        <v>25</v>
      </c>
      <c r="B37" s="6" t="s">
        <v>380</v>
      </c>
      <c r="C37" s="278">
        <v>0.1071</v>
      </c>
      <c r="D37" s="278">
        <f>$C$37</f>
        <v>0.1071</v>
      </c>
      <c r="E37" s="278">
        <f t="shared" ref="E37:N37" si="10">$C$37</f>
        <v>0.1071</v>
      </c>
      <c r="F37" s="278">
        <f t="shared" si="10"/>
        <v>0.1071</v>
      </c>
      <c r="G37" s="278">
        <f t="shared" si="10"/>
        <v>0.1071</v>
      </c>
      <c r="H37" s="278">
        <f t="shared" si="10"/>
        <v>0.1071</v>
      </c>
      <c r="I37" s="278">
        <f t="shared" si="10"/>
        <v>0.1071</v>
      </c>
      <c r="J37" s="278">
        <f t="shared" si="10"/>
        <v>0.1071</v>
      </c>
      <c r="K37" s="278">
        <f t="shared" si="10"/>
        <v>0.1071</v>
      </c>
      <c r="L37" s="278">
        <f t="shared" si="10"/>
        <v>0.1071</v>
      </c>
      <c r="M37" s="278">
        <f t="shared" si="10"/>
        <v>0.1071</v>
      </c>
      <c r="N37" s="278">
        <f t="shared" si="10"/>
        <v>0.1071</v>
      </c>
      <c r="O37" s="5"/>
    </row>
    <row r="38" spans="1:18">
      <c r="A38" s="4">
        <f t="shared" si="1"/>
        <v>26</v>
      </c>
      <c r="B38" s="6" t="s">
        <v>381</v>
      </c>
      <c r="C38" s="248">
        <v>0.49090457251500325</v>
      </c>
      <c r="D38" s="248">
        <f>$C$38</f>
        <v>0.49090457251500325</v>
      </c>
      <c r="E38" s="248">
        <f t="shared" ref="E38:N38" si="11">$C$38</f>
        <v>0.49090457251500325</v>
      </c>
      <c r="F38" s="248">
        <f t="shared" si="11"/>
        <v>0.49090457251500325</v>
      </c>
      <c r="G38" s="248">
        <f t="shared" si="11"/>
        <v>0.49090457251500325</v>
      </c>
      <c r="H38" s="248">
        <f t="shared" si="11"/>
        <v>0.49090457251500325</v>
      </c>
      <c r="I38" s="248">
        <f t="shared" si="11"/>
        <v>0.49090457251500325</v>
      </c>
      <c r="J38" s="248">
        <f t="shared" si="11"/>
        <v>0.49090457251500325</v>
      </c>
      <c r="K38" s="248">
        <f t="shared" si="11"/>
        <v>0.49090457251500325</v>
      </c>
      <c r="L38" s="248">
        <f t="shared" si="11"/>
        <v>0.49090457251500325</v>
      </c>
      <c r="M38" s="248">
        <f t="shared" si="11"/>
        <v>0.49090457251500325</v>
      </c>
      <c r="N38" s="248">
        <f t="shared" si="11"/>
        <v>0.49090457251500325</v>
      </c>
      <c r="O38" s="5"/>
    </row>
    <row r="39" spans="1:18">
      <c r="A39" s="4">
        <f t="shared" si="1"/>
        <v>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8">
      <c r="A40" s="4">
        <f t="shared" si="1"/>
        <v>28</v>
      </c>
      <c r="B40" s="6" t="s">
        <v>389</v>
      </c>
      <c r="C40" s="303">
        <f t="shared" ref="C40:N40" si="12">C35*C37*C38</f>
        <v>15573.382982476824</v>
      </c>
      <c r="D40" s="303">
        <f t="shared" si="12"/>
        <v>15890.23039120604</v>
      </c>
      <c r="E40" s="303">
        <f t="shared" si="12"/>
        <v>14515.792963421438</v>
      </c>
      <c r="F40" s="303">
        <f t="shared" si="12"/>
        <v>13267.074728747191</v>
      </c>
      <c r="G40" s="303">
        <f t="shared" si="12"/>
        <v>14234.155186989085</v>
      </c>
      <c r="H40" s="303">
        <f t="shared" si="12"/>
        <v>14234.155186989085</v>
      </c>
      <c r="I40" s="303">
        <f t="shared" si="12"/>
        <v>14234.155186989085</v>
      </c>
      <c r="J40" s="303">
        <f t="shared" si="12"/>
        <v>14234.155186989085</v>
      </c>
      <c r="K40" s="303">
        <f t="shared" si="12"/>
        <v>14234.155186989085</v>
      </c>
      <c r="L40" s="303">
        <f t="shared" si="12"/>
        <v>17504.248497276905</v>
      </c>
      <c r="M40" s="303">
        <f t="shared" si="12"/>
        <v>16224.270154340778</v>
      </c>
      <c r="N40" s="303">
        <f t="shared" si="12"/>
        <v>19003.993967217466</v>
      </c>
      <c r="O40" s="294">
        <f>SUM(C40:N40)</f>
        <v>183149.76961963205</v>
      </c>
    </row>
    <row r="41" spans="1:18">
      <c r="A41" s="4">
        <f t="shared" si="1"/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ht="15.75">
      <c r="A42" s="4">
        <f t="shared" si="1"/>
        <v>30</v>
      </c>
      <c r="B42" s="291" t="s">
        <v>382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</row>
    <row r="43" spans="1:18">
      <c r="A43" s="4">
        <f t="shared" si="1"/>
        <v>31</v>
      </c>
      <c r="B43" s="6" t="s">
        <v>364</v>
      </c>
      <c r="C43" s="292">
        <f>'C.2.3 B'!F42*1.03</f>
        <v>193959.79440000001</v>
      </c>
      <c r="D43" s="292">
        <f>'C.2.3 B'!G42*1.03</f>
        <v>199001.58259999999</v>
      </c>
      <c r="E43" s="292">
        <f>'C.2.3 B'!H42*1.03</f>
        <v>177084.05809999999</v>
      </c>
      <c r="F43" s="292">
        <f>'C.2.3 B'!I42*1.03</f>
        <v>170041.37244728749</v>
      </c>
      <c r="G43" s="292">
        <f>'C.2.3 B'!J42*1.03</f>
        <v>185181.11740837662</v>
      </c>
      <c r="H43" s="292">
        <f>'C.2.3 B'!K42*1.03</f>
        <v>185181.11740837662</v>
      </c>
      <c r="I43" s="292">
        <f>'C.2.3 B'!L42*1.03</f>
        <v>185181.11740837662</v>
      </c>
      <c r="J43" s="292">
        <f>'C.2.3 B'!M42*1.03</f>
        <v>185181.11740837662</v>
      </c>
      <c r="K43" s="292">
        <f>'C.2.3 B'!N42*1.03</f>
        <v>185181.11740837662</v>
      </c>
      <c r="L43" s="292">
        <f>'C.2.3 B'!C42*1.03*1.03</f>
        <v>233593.38595299999</v>
      </c>
      <c r="M43" s="292">
        <f>'C.2.3 B'!D42*1.03*1.03</f>
        <v>211969.31586900001</v>
      </c>
      <c r="N43" s="292">
        <f>'C.2.3 B'!E42*1.03*1.03</f>
        <v>258243.81120400006</v>
      </c>
      <c r="O43" s="292">
        <f t="shared" ref="O43:O48" si="13">SUM(C43:N43)</f>
        <v>2369798.9076151708</v>
      </c>
      <c r="P43" s="79"/>
    </row>
    <row r="44" spans="1:18">
      <c r="A44" s="4">
        <f t="shared" si="1"/>
        <v>32</v>
      </c>
      <c r="B44" s="6" t="s">
        <v>365</v>
      </c>
      <c r="C44" s="292">
        <f>'C.2.3 B'!F43*1.03</f>
        <v>149.86500000000001</v>
      </c>
      <c r="D44" s="292">
        <f>'C.2.3 B'!G43*1.03</f>
        <v>156.8793</v>
      </c>
      <c r="E44" s="292">
        <f>'C.2.3 B'!H43*1.03</f>
        <v>139.48259999999999</v>
      </c>
      <c r="F44" s="292">
        <f>'C.2.3 B'!I43*1.03</f>
        <v>110.00975172400804</v>
      </c>
      <c r="G44" s="292">
        <f>'C.2.3 B'!J43*1.03</f>
        <v>119.80454201747341</v>
      </c>
      <c r="H44" s="292">
        <f>'C.2.3 B'!K43*1.03</f>
        <v>119.80454201747341</v>
      </c>
      <c r="I44" s="292">
        <f>'C.2.3 B'!L43*1.03</f>
        <v>119.80454201747341</v>
      </c>
      <c r="J44" s="292">
        <f>'C.2.3 B'!M43*1.03</f>
        <v>119.80454201747341</v>
      </c>
      <c r="K44" s="292">
        <f>'C.2.3 B'!N43*1.03</f>
        <v>119.80454201747341</v>
      </c>
      <c r="L44" s="292">
        <f>'C.2.3 B'!C43*1.03*1.03</f>
        <v>280.68231300000014</v>
      </c>
      <c r="M44" s="292">
        <f>'C.2.3 B'!D43*1.03*1.03</f>
        <v>-282.7404590000001</v>
      </c>
      <c r="N44" s="292">
        <f>'C.2.3 B'!E43*1.03*1.03</f>
        <v>377.63796400000001</v>
      </c>
      <c r="O44" s="39">
        <f t="shared" si="13"/>
        <v>1530.8391798113753</v>
      </c>
    </row>
    <row r="45" spans="1:18">
      <c r="A45" s="4">
        <f t="shared" si="1"/>
        <v>33</v>
      </c>
      <c r="B45" s="6" t="s">
        <v>366</v>
      </c>
      <c r="C45" s="292">
        <f>'C.2.3 B'!F44*1.03</f>
        <v>556.03520000000003</v>
      </c>
      <c r="D45" s="292">
        <f>'C.2.3 B'!G44*1.03</f>
        <v>436.57580000000002</v>
      </c>
      <c r="E45" s="292">
        <f>'C.2.3 B'!H44*1.03</f>
        <v>508.20200000000006</v>
      </c>
      <c r="F45" s="292">
        <f>'C.2.3 B'!I44*1.03</f>
        <v>625.99845713958996</v>
      </c>
      <c r="G45" s="292">
        <f>'C.2.3 B'!J44*1.03</f>
        <v>681.73463975636275</v>
      </c>
      <c r="H45" s="292">
        <f>'C.2.3 B'!K44*1.03</f>
        <v>681.73463975636275</v>
      </c>
      <c r="I45" s="292">
        <f>'C.2.3 B'!L44*1.03</f>
        <v>681.73463975636275</v>
      </c>
      <c r="J45" s="292">
        <f>'C.2.3 B'!M44*1.03</f>
        <v>681.73463975636275</v>
      </c>
      <c r="K45" s="292">
        <f>'C.2.3 B'!N44*1.03</f>
        <v>681.73463975636275</v>
      </c>
      <c r="L45" s="292">
        <f>'C.2.3 B'!C44*1.03*1.03</f>
        <v>3166.6698009999996</v>
      </c>
      <c r="M45" s="292">
        <f>'C.2.3 B'!D44*1.03*1.03</f>
        <v>-553.91710800000033</v>
      </c>
      <c r="N45" s="292">
        <f>'C.2.3 B'!E44*1.03*1.03</f>
        <v>593.98730100000012</v>
      </c>
      <c r="O45" s="39">
        <f t="shared" si="13"/>
        <v>8742.2246499214016</v>
      </c>
    </row>
    <row r="46" spans="1:18">
      <c r="A46" s="4">
        <f t="shared" si="1"/>
        <v>34</v>
      </c>
      <c r="B46" s="6" t="s">
        <v>376</v>
      </c>
      <c r="C46" s="39">
        <v>55000</v>
      </c>
      <c r="D46" s="39">
        <f>C46</f>
        <v>55000</v>
      </c>
      <c r="E46" s="39">
        <f t="shared" ref="E46:N46" si="14">D46</f>
        <v>55000</v>
      </c>
      <c r="F46" s="39">
        <f t="shared" si="14"/>
        <v>55000</v>
      </c>
      <c r="G46" s="39">
        <f t="shared" si="14"/>
        <v>55000</v>
      </c>
      <c r="H46" s="39">
        <f t="shared" si="14"/>
        <v>55000</v>
      </c>
      <c r="I46" s="39">
        <f t="shared" si="14"/>
        <v>55000</v>
      </c>
      <c r="J46" s="39">
        <f t="shared" si="14"/>
        <v>55000</v>
      </c>
      <c r="K46" s="39">
        <f t="shared" si="14"/>
        <v>55000</v>
      </c>
      <c r="L46" s="39">
        <f t="shared" si="14"/>
        <v>55000</v>
      </c>
      <c r="M46" s="39">
        <f t="shared" si="14"/>
        <v>55000</v>
      </c>
      <c r="N46" s="39">
        <f t="shared" si="14"/>
        <v>55000</v>
      </c>
      <c r="O46" s="39">
        <f>SUM(C46:N46)</f>
        <v>660000</v>
      </c>
      <c r="P46" s="300"/>
      <c r="Q46" s="300"/>
      <c r="R46" s="79"/>
    </row>
    <row r="47" spans="1:18">
      <c r="A47" s="4">
        <f t="shared" si="1"/>
        <v>35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8">
      <c r="A48" s="4">
        <f t="shared" si="1"/>
        <v>36</v>
      </c>
      <c r="B48" s="6" t="s">
        <v>379</v>
      </c>
      <c r="C48" s="294">
        <f t="shared" ref="C48:N48" si="15">SUM(C43:C46)</f>
        <v>249665.69460000002</v>
      </c>
      <c r="D48" s="294">
        <f t="shared" si="15"/>
        <v>254595.03769999999</v>
      </c>
      <c r="E48" s="294">
        <f t="shared" si="15"/>
        <v>232731.74269999997</v>
      </c>
      <c r="F48" s="294">
        <f t="shared" si="15"/>
        <v>225777.3806561511</v>
      </c>
      <c r="G48" s="294">
        <f t="shared" si="15"/>
        <v>240982.65659015044</v>
      </c>
      <c r="H48" s="294">
        <f t="shared" si="15"/>
        <v>240982.65659015044</v>
      </c>
      <c r="I48" s="294">
        <f t="shared" si="15"/>
        <v>240982.65659015044</v>
      </c>
      <c r="J48" s="294">
        <f t="shared" si="15"/>
        <v>240982.65659015044</v>
      </c>
      <c r="K48" s="294">
        <f t="shared" si="15"/>
        <v>240982.65659015044</v>
      </c>
      <c r="L48" s="294">
        <f t="shared" si="15"/>
        <v>292040.738067</v>
      </c>
      <c r="M48" s="294">
        <f t="shared" si="15"/>
        <v>266132.65830200003</v>
      </c>
      <c r="N48" s="294">
        <f t="shared" si="15"/>
        <v>314215.43646900007</v>
      </c>
      <c r="O48" s="294">
        <f t="shared" si="13"/>
        <v>3040071.9714449029</v>
      </c>
    </row>
    <row r="49" spans="1:18">
      <c r="A49" s="4">
        <f t="shared" si="1"/>
        <v>37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8">
      <c r="A50" s="4">
        <f t="shared" si="1"/>
        <v>38</v>
      </c>
      <c r="B50" s="6" t="s">
        <v>380</v>
      </c>
      <c r="C50" s="248">
        <v>0.1086</v>
      </c>
      <c r="D50" s="248">
        <f>$C$50</f>
        <v>0.1086</v>
      </c>
      <c r="E50" s="248">
        <f t="shared" ref="E50:N50" si="16">$C$50</f>
        <v>0.1086</v>
      </c>
      <c r="F50" s="248">
        <f t="shared" si="16"/>
        <v>0.1086</v>
      </c>
      <c r="G50" s="248">
        <f t="shared" si="16"/>
        <v>0.1086</v>
      </c>
      <c r="H50" s="248">
        <f t="shared" si="16"/>
        <v>0.1086</v>
      </c>
      <c r="I50" s="248">
        <f t="shared" si="16"/>
        <v>0.1086</v>
      </c>
      <c r="J50" s="248">
        <f t="shared" si="16"/>
        <v>0.1086</v>
      </c>
      <c r="K50" s="248">
        <f t="shared" si="16"/>
        <v>0.1086</v>
      </c>
      <c r="L50" s="248">
        <f t="shared" si="16"/>
        <v>0.1086</v>
      </c>
      <c r="M50" s="248">
        <f t="shared" si="16"/>
        <v>0.1086</v>
      </c>
      <c r="N50" s="248">
        <f t="shared" si="16"/>
        <v>0.1086</v>
      </c>
      <c r="O50" s="5"/>
    </row>
    <row r="51" spans="1:18">
      <c r="A51" s="4">
        <f t="shared" si="1"/>
        <v>39</v>
      </c>
      <c r="B51" s="6" t="s">
        <v>381</v>
      </c>
      <c r="C51" s="248">
        <v>0.52599015110063552</v>
      </c>
      <c r="D51" s="248">
        <f>$C$51</f>
        <v>0.52599015110063552</v>
      </c>
      <c r="E51" s="248">
        <f t="shared" ref="E51:N51" si="17">$C$51</f>
        <v>0.52599015110063552</v>
      </c>
      <c r="F51" s="248">
        <f t="shared" si="17"/>
        <v>0.52599015110063552</v>
      </c>
      <c r="G51" s="248">
        <f t="shared" si="17"/>
        <v>0.52599015110063552</v>
      </c>
      <c r="H51" s="248">
        <f t="shared" si="17"/>
        <v>0.52599015110063552</v>
      </c>
      <c r="I51" s="248">
        <f t="shared" si="17"/>
        <v>0.52599015110063552</v>
      </c>
      <c r="J51" s="248">
        <f t="shared" si="17"/>
        <v>0.52599015110063552</v>
      </c>
      <c r="K51" s="248">
        <f t="shared" si="17"/>
        <v>0.52599015110063552</v>
      </c>
      <c r="L51" s="248">
        <f t="shared" si="17"/>
        <v>0.52599015110063552</v>
      </c>
      <c r="M51" s="248">
        <f t="shared" si="17"/>
        <v>0.52599015110063552</v>
      </c>
      <c r="N51" s="248">
        <f t="shared" si="17"/>
        <v>0.52599015110063552</v>
      </c>
      <c r="O51" s="5"/>
    </row>
    <row r="52" spans="1:18">
      <c r="A52" s="4">
        <f t="shared" si="1"/>
        <v>40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8">
      <c r="A53" s="4">
        <f t="shared" si="1"/>
        <v>41</v>
      </c>
      <c r="B53" s="6" t="s">
        <v>390</v>
      </c>
      <c r="C53" s="303">
        <f t="shared" ref="C53:N53" si="18">C48*C50*C51</f>
        <v>14261.536232004686</v>
      </c>
      <c r="D53" s="303">
        <f t="shared" si="18"/>
        <v>14543.112783133436</v>
      </c>
      <c r="E53" s="303">
        <f t="shared" si="18"/>
        <v>13294.226049643432</v>
      </c>
      <c r="F53" s="303">
        <f t="shared" si="18"/>
        <v>12896.975292314799</v>
      </c>
      <c r="G53" s="303">
        <f t="shared" si="18"/>
        <v>13765.539129239958</v>
      </c>
      <c r="H53" s="303">
        <f t="shared" si="18"/>
        <v>13765.539129239958</v>
      </c>
      <c r="I53" s="303">
        <f t="shared" si="18"/>
        <v>13765.539129239958</v>
      </c>
      <c r="J53" s="303">
        <f t="shared" si="18"/>
        <v>13765.539129239958</v>
      </c>
      <c r="K53" s="303">
        <f t="shared" si="18"/>
        <v>13765.539129239958</v>
      </c>
      <c r="L53" s="303">
        <f t="shared" si="18"/>
        <v>16682.105941053505</v>
      </c>
      <c r="M53" s="303">
        <f t="shared" si="18"/>
        <v>15202.17086682479</v>
      </c>
      <c r="N53" s="303">
        <f t="shared" si="18"/>
        <v>17948.780824843889</v>
      </c>
      <c r="O53" s="294">
        <f>SUM(C53:N53)</f>
        <v>173656.60363601832</v>
      </c>
    </row>
    <row r="54" spans="1:18">
      <c r="A54" s="4">
        <f t="shared" si="1"/>
        <v>42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8" ht="15.75">
      <c r="A55" s="4">
        <f t="shared" si="1"/>
        <v>43</v>
      </c>
      <c r="B55" s="291" t="s">
        <v>383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8">
      <c r="A56" s="4">
        <f t="shared" si="1"/>
        <v>44</v>
      </c>
      <c r="B56" s="6" t="s">
        <v>364</v>
      </c>
      <c r="C56" s="292">
        <f>'C.2.3 B'!F55*1.03</f>
        <v>6757.6240000000025</v>
      </c>
      <c r="D56" s="292">
        <f>'C.2.3 B'!G55*1.03</f>
        <v>8575.4812999999976</v>
      </c>
      <c r="E56" s="292">
        <f>'C.2.3 B'!H55*1.03</f>
        <v>9067.2857000000004</v>
      </c>
      <c r="F56" s="292">
        <f>'C.2.3 B'!I55*1.03</f>
        <v>7851.5352855406281</v>
      </c>
      <c r="G56" s="292">
        <f>'C.2.3 B'!J55*1.03</f>
        <v>9091.0642512399008</v>
      </c>
      <c r="H56" s="292">
        <f>'C.2.3 B'!K55*1.03</f>
        <v>9091.0642512399008</v>
      </c>
      <c r="I56" s="292">
        <f>'C.2.3 B'!L55*1.03</f>
        <v>9091.0642512399008</v>
      </c>
      <c r="J56" s="292">
        <f>'C.2.3 B'!M55*1.03</f>
        <v>9091.0642512399008</v>
      </c>
      <c r="K56" s="292">
        <f>'C.2.3 B'!N55*1.03</f>
        <v>9091.0642512399008</v>
      </c>
      <c r="L56" s="292">
        <f>'C.2.3 B'!C55*1.03*1.03</f>
        <v>11243.396982000002</v>
      </c>
      <c r="M56" s="292">
        <f>'C.2.3 B'!D55*1.03*1.03</f>
        <v>8472.6020160000007</v>
      </c>
      <c r="N56" s="292">
        <f>'C.2.3 B'!E55*1.03*1.03</f>
        <v>23093.268058000009</v>
      </c>
      <c r="O56" s="292">
        <f t="shared" ref="O56:O63" si="19">SUM(C56:N56)</f>
        <v>120516.51459774014</v>
      </c>
    </row>
    <row r="57" spans="1:18">
      <c r="A57" s="4">
        <f t="shared" si="1"/>
        <v>45</v>
      </c>
      <c r="B57" s="6" t="s">
        <v>365</v>
      </c>
      <c r="C57" s="292">
        <f>'C.2.3 B'!F56*1.03</f>
        <v>5.2015000000000002</v>
      </c>
      <c r="D57" s="292">
        <f>'C.2.3 B'!G56*1.03</f>
        <v>0.99909999999999999</v>
      </c>
      <c r="E57" s="292">
        <f>'C.2.3 B'!H56*1.03</f>
        <v>0.47380000000000017</v>
      </c>
      <c r="F57" s="292">
        <f>'C.2.3 B'!I56*1.03</f>
        <v>-15.938086234657714</v>
      </c>
      <c r="G57" s="292">
        <f>'C.2.3 B'!J56*1.03</f>
        <v>-18.454246301091242</v>
      </c>
      <c r="H57" s="292">
        <f>'C.2.3 B'!K56*1.03</f>
        <v>-18.454246301091242</v>
      </c>
      <c r="I57" s="292">
        <f>'C.2.3 B'!L56*1.03</f>
        <v>-18.454246301091242</v>
      </c>
      <c r="J57" s="292">
        <f>'C.2.3 B'!M56*1.03</f>
        <v>-18.454246301091242</v>
      </c>
      <c r="K57" s="292">
        <f>'C.2.3 B'!N56*1.03</f>
        <v>-18.454246301091242</v>
      </c>
      <c r="L57" s="292">
        <f>'C.2.3 B'!C56*1.03*1.03</f>
        <v>-117.01727000000001</v>
      </c>
      <c r="M57" s="292">
        <f>'C.2.3 B'!D56*1.03*1.03</f>
        <v>-31.93309</v>
      </c>
      <c r="N57" s="292">
        <f>'C.2.3 B'!E56*1.03*1.03</f>
        <v>4.1587280000000018</v>
      </c>
      <c r="O57" s="39">
        <f t="shared" si="19"/>
        <v>-246.32654974011393</v>
      </c>
    </row>
    <row r="58" spans="1:18">
      <c r="A58" s="4">
        <f t="shared" si="1"/>
        <v>46</v>
      </c>
      <c r="B58" s="6" t="s">
        <v>366</v>
      </c>
      <c r="C58" s="292">
        <f>'C.2.3 B'!F57*1.03</f>
        <v>12.565999999999999</v>
      </c>
      <c r="D58" s="292">
        <f>'C.2.3 B'!G57*1.03</f>
        <v>4.5835000000000008</v>
      </c>
      <c r="E58" s="292">
        <f>'C.2.3 B'!H57*1.03</f>
        <v>3.2960000000000003</v>
      </c>
      <c r="F58" s="292">
        <f>'C.2.3 B'!I57*1.03</f>
        <v>40.068348793929466</v>
      </c>
      <c r="G58" s="292">
        <f>'C.2.3 B'!J57*1.03</f>
        <v>46.393975200943352</v>
      </c>
      <c r="H58" s="292">
        <f>'C.2.3 B'!K57*1.03</f>
        <v>46.393975200943352</v>
      </c>
      <c r="I58" s="292">
        <f>'C.2.3 B'!L57*1.03</f>
        <v>46.393975200943352</v>
      </c>
      <c r="J58" s="292">
        <f>'C.2.3 B'!M57*1.03</f>
        <v>46.393975200943352</v>
      </c>
      <c r="K58" s="292">
        <f>'C.2.3 B'!N57*1.03</f>
        <v>46.393975200943352</v>
      </c>
      <c r="L58" s="292">
        <f>'C.2.3 B'!C57*1.03*1.03</f>
        <v>671.79370699999993</v>
      </c>
      <c r="M58" s="292">
        <f>'C.2.3 B'!D57*1.03*1.03</f>
        <v>-340.5170730000001</v>
      </c>
      <c r="N58" s="292">
        <f>'C.2.3 B'!E57*1.03*1.03</f>
        <v>-5.6121609999999995</v>
      </c>
      <c r="O58" s="39">
        <f t="shared" si="19"/>
        <v>618.14819779864604</v>
      </c>
    </row>
    <row r="59" spans="1:18">
      <c r="A59" s="4">
        <f t="shared" si="1"/>
        <v>47</v>
      </c>
      <c r="B59" t="s">
        <v>367</v>
      </c>
      <c r="C59" s="292">
        <f>'C.2.3 B'!F58*1.03</f>
        <v>4.0685000000000002</v>
      </c>
      <c r="D59" s="292">
        <f>'C.2.3 B'!G58*1.03</f>
        <v>8.1370000000000005</v>
      </c>
      <c r="E59" s="292">
        <f>'C.2.3 B'!H58*1.03</f>
        <v>93.524000000000001</v>
      </c>
      <c r="F59" s="292">
        <f>'C.2.3 B'!I58*1.03</f>
        <v>0</v>
      </c>
      <c r="G59" s="292">
        <f>'C.2.3 B'!J58*1.03</f>
        <v>0</v>
      </c>
      <c r="H59" s="292">
        <f>'C.2.3 B'!K58*1.03</f>
        <v>0</v>
      </c>
      <c r="I59" s="292">
        <f>'C.2.3 B'!L58*1.03</f>
        <v>0</v>
      </c>
      <c r="J59" s="292">
        <f>'C.2.3 B'!M58*1.03</f>
        <v>0</v>
      </c>
      <c r="K59" s="292">
        <f>'C.2.3 B'!N58*1.03</f>
        <v>0</v>
      </c>
      <c r="L59" s="292">
        <f>'C.2.3 B'!C58*1.03*1.03</f>
        <v>148.01676800000001</v>
      </c>
      <c r="M59" s="292">
        <f>'C.2.3 B'!D58*1.03*1.03</f>
        <v>58.635943000000012</v>
      </c>
      <c r="N59" s="292">
        <f>'C.2.3 B'!E58*1.03*1.03</f>
        <v>25.132721</v>
      </c>
      <c r="O59" s="39">
        <f t="shared" si="19"/>
        <v>337.51493200000004</v>
      </c>
    </row>
    <row r="60" spans="1:18">
      <c r="A60" s="4">
        <f t="shared" si="1"/>
        <v>48</v>
      </c>
      <c r="B60" s="6" t="s">
        <v>376</v>
      </c>
      <c r="C60" s="39">
        <v>7500</v>
      </c>
      <c r="D60" s="39">
        <f>C60</f>
        <v>7500</v>
      </c>
      <c r="E60" s="39">
        <f t="shared" ref="E60:N61" si="20">D60</f>
        <v>7500</v>
      </c>
      <c r="F60" s="39">
        <f t="shared" si="20"/>
        <v>7500</v>
      </c>
      <c r="G60" s="39">
        <f t="shared" si="20"/>
        <v>7500</v>
      </c>
      <c r="H60" s="39">
        <f t="shared" si="20"/>
        <v>7500</v>
      </c>
      <c r="I60" s="39">
        <f t="shared" si="20"/>
        <v>7500</v>
      </c>
      <c r="J60" s="39">
        <f t="shared" si="20"/>
        <v>7500</v>
      </c>
      <c r="K60" s="39">
        <f t="shared" si="20"/>
        <v>7500</v>
      </c>
      <c r="L60" s="39">
        <f t="shared" si="20"/>
        <v>7500</v>
      </c>
      <c r="M60" s="39">
        <f t="shared" si="20"/>
        <v>7500</v>
      </c>
      <c r="N60" s="39">
        <f t="shared" si="20"/>
        <v>7500</v>
      </c>
      <c r="O60" s="39">
        <f>SUM(C60:N60)</f>
        <v>90000</v>
      </c>
      <c r="P60" s="300"/>
      <c r="Q60" s="300"/>
      <c r="R60" s="79"/>
    </row>
    <row r="61" spans="1:18">
      <c r="A61" s="4">
        <f t="shared" si="1"/>
        <v>49</v>
      </c>
      <c r="B61" s="145" t="s">
        <v>384</v>
      </c>
      <c r="C61" s="39">
        <f>'C.2.3 B'!N60</f>
        <v>0</v>
      </c>
      <c r="D61" s="39">
        <f>C61</f>
        <v>0</v>
      </c>
      <c r="E61" s="39">
        <f t="shared" si="20"/>
        <v>0</v>
      </c>
      <c r="F61" s="39">
        <f t="shared" si="20"/>
        <v>0</v>
      </c>
      <c r="G61" s="39">
        <f t="shared" si="20"/>
        <v>0</v>
      </c>
      <c r="H61" s="39">
        <f t="shared" si="20"/>
        <v>0</v>
      </c>
      <c r="I61" s="39">
        <f t="shared" si="20"/>
        <v>0</v>
      </c>
      <c r="J61" s="39">
        <f t="shared" si="20"/>
        <v>0</v>
      </c>
      <c r="K61" s="39">
        <f t="shared" si="20"/>
        <v>0</v>
      </c>
      <c r="L61" s="39">
        <f t="shared" si="20"/>
        <v>0</v>
      </c>
      <c r="M61" s="39">
        <f t="shared" si="20"/>
        <v>0</v>
      </c>
      <c r="N61" s="39">
        <f t="shared" si="20"/>
        <v>0</v>
      </c>
      <c r="O61" s="39">
        <f t="shared" si="19"/>
        <v>0</v>
      </c>
      <c r="P61" s="301"/>
    </row>
    <row r="62" spans="1:18">
      <c r="A62" s="4">
        <f t="shared" si="1"/>
        <v>50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8">
      <c r="A63" s="4">
        <f t="shared" si="1"/>
        <v>51</v>
      </c>
      <c r="B63" s="6" t="s">
        <v>379</v>
      </c>
      <c r="C63" s="294">
        <f t="shared" ref="C63:N63" si="21">SUM(C56:C62)</f>
        <v>14279.460000000003</v>
      </c>
      <c r="D63" s="294">
        <f t="shared" si="21"/>
        <v>16089.2009</v>
      </c>
      <c r="E63" s="294">
        <f t="shared" si="21"/>
        <v>16664.5795</v>
      </c>
      <c r="F63" s="294">
        <f t="shared" si="21"/>
        <v>15375.6655480999</v>
      </c>
      <c r="G63" s="294">
        <f t="shared" si="21"/>
        <v>16619.003980139751</v>
      </c>
      <c r="H63" s="294">
        <f t="shared" si="21"/>
        <v>16619.003980139751</v>
      </c>
      <c r="I63" s="294">
        <f t="shared" si="21"/>
        <v>16619.003980139751</v>
      </c>
      <c r="J63" s="294">
        <f t="shared" si="21"/>
        <v>16619.003980139751</v>
      </c>
      <c r="K63" s="294">
        <f t="shared" si="21"/>
        <v>16619.003980139751</v>
      </c>
      <c r="L63" s="294">
        <f t="shared" si="21"/>
        <v>19446.190187</v>
      </c>
      <c r="M63" s="294">
        <f t="shared" si="21"/>
        <v>15658.787796000001</v>
      </c>
      <c r="N63" s="294">
        <f t="shared" si="21"/>
        <v>30616.947346000008</v>
      </c>
      <c r="O63" s="294">
        <f t="shared" si="19"/>
        <v>211225.85117779864</v>
      </c>
    </row>
    <row r="64" spans="1:18">
      <c r="A64" s="4">
        <f t="shared" si="1"/>
        <v>52</v>
      </c>
      <c r="C64" s="5"/>
      <c r="D64" s="5"/>
      <c r="E64" s="5"/>
      <c r="F64" s="5"/>
      <c r="G64" s="304"/>
      <c r="H64" s="5"/>
      <c r="I64" s="5"/>
      <c r="J64" s="5"/>
      <c r="K64" s="5"/>
      <c r="L64" s="5"/>
      <c r="M64" s="5"/>
      <c r="N64" s="5"/>
      <c r="O64" s="5"/>
    </row>
    <row r="65" spans="1:15">
      <c r="A65" s="4">
        <f t="shared" si="1"/>
        <v>53</v>
      </c>
      <c r="B65" s="6" t="s">
        <v>380</v>
      </c>
      <c r="C65" s="248">
        <v>1</v>
      </c>
      <c r="D65" s="248">
        <f>$C$65</f>
        <v>1</v>
      </c>
      <c r="E65" s="248">
        <f t="shared" ref="E65:N65" si="22">$C$65</f>
        <v>1</v>
      </c>
      <c r="F65" s="248">
        <f t="shared" si="22"/>
        <v>1</v>
      </c>
      <c r="G65" s="248">
        <f t="shared" si="22"/>
        <v>1</v>
      </c>
      <c r="H65" s="248">
        <f t="shared" si="22"/>
        <v>1</v>
      </c>
      <c r="I65" s="248">
        <f t="shared" si="22"/>
        <v>1</v>
      </c>
      <c r="J65" s="248">
        <f t="shared" si="22"/>
        <v>1</v>
      </c>
      <c r="K65" s="248">
        <f t="shared" si="22"/>
        <v>1</v>
      </c>
      <c r="L65" s="248">
        <f t="shared" si="22"/>
        <v>1</v>
      </c>
      <c r="M65" s="248">
        <f t="shared" si="22"/>
        <v>1</v>
      </c>
      <c r="N65" s="248">
        <f t="shared" si="22"/>
        <v>1</v>
      </c>
      <c r="O65" s="5"/>
    </row>
    <row r="66" spans="1:15">
      <c r="A66" s="4">
        <f t="shared" si="1"/>
        <v>54</v>
      </c>
      <c r="B66" s="6" t="s">
        <v>381</v>
      </c>
      <c r="C66" s="248">
        <v>0.49090457251500325</v>
      </c>
      <c r="D66" s="248">
        <f>$C$66</f>
        <v>0.49090457251500325</v>
      </c>
      <c r="E66" s="248">
        <f t="shared" ref="E66:N66" si="23">$C$66</f>
        <v>0.49090457251500325</v>
      </c>
      <c r="F66" s="248">
        <f t="shared" si="23"/>
        <v>0.49090457251500325</v>
      </c>
      <c r="G66" s="248">
        <f t="shared" si="23"/>
        <v>0.49090457251500325</v>
      </c>
      <c r="H66" s="248">
        <f t="shared" si="23"/>
        <v>0.49090457251500325</v>
      </c>
      <c r="I66" s="248">
        <f t="shared" si="23"/>
        <v>0.49090457251500325</v>
      </c>
      <c r="J66" s="248">
        <f t="shared" si="23"/>
        <v>0.49090457251500325</v>
      </c>
      <c r="K66" s="248">
        <f t="shared" si="23"/>
        <v>0.49090457251500325</v>
      </c>
      <c r="L66" s="248">
        <f t="shared" si="23"/>
        <v>0.49090457251500325</v>
      </c>
      <c r="M66" s="248">
        <f t="shared" si="23"/>
        <v>0.49090457251500325</v>
      </c>
      <c r="N66" s="248">
        <f t="shared" si="23"/>
        <v>0.49090457251500325</v>
      </c>
      <c r="O66" s="5"/>
    </row>
    <row r="67" spans="1:15">
      <c r="A67" s="4">
        <f t="shared" si="1"/>
        <v>55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4">
        <f t="shared" si="1"/>
        <v>56</v>
      </c>
      <c r="B68" s="6" t="s">
        <v>391</v>
      </c>
      <c r="C68" s="303">
        <f>C63*C65*C66</f>
        <v>7009.8522070450899</v>
      </c>
      <c r="D68" s="303">
        <f t="shared" ref="D68:N68" si="24">D63*D65*D66</f>
        <v>7898.2622899225053</v>
      </c>
      <c r="E68" s="303">
        <f t="shared" si="24"/>
        <v>8180.7182755897866</v>
      </c>
      <c r="F68" s="303">
        <f t="shared" si="24"/>
        <v>7547.9845230236442</v>
      </c>
      <c r="G68" s="303">
        <f t="shared" si="24"/>
        <v>8158.3450444956416</v>
      </c>
      <c r="H68" s="303">
        <f t="shared" si="24"/>
        <v>8158.3450444956416</v>
      </c>
      <c r="I68" s="303">
        <f t="shared" si="24"/>
        <v>8158.3450444956416</v>
      </c>
      <c r="J68" s="303">
        <f t="shared" si="24"/>
        <v>8158.3450444956416</v>
      </c>
      <c r="K68" s="303">
        <f t="shared" si="24"/>
        <v>8158.3450444956416</v>
      </c>
      <c r="L68" s="303">
        <f t="shared" si="24"/>
        <v>9546.2236807946865</v>
      </c>
      <c r="M68" s="303">
        <f t="shared" si="24"/>
        <v>7686.9705290985303</v>
      </c>
      <c r="N68" s="303">
        <f t="shared" si="24"/>
        <v>15029.999448602497</v>
      </c>
      <c r="O68" s="294">
        <f>SUM(C68:N68)</f>
        <v>103691.73617655494</v>
      </c>
    </row>
    <row r="69" spans="1:15">
      <c r="B69" s="305"/>
    </row>
  </sheetData>
  <mergeCells count="4">
    <mergeCell ref="A1:O1"/>
    <mergeCell ref="A2:O2"/>
    <mergeCell ref="A3:O3"/>
    <mergeCell ref="A4:O4"/>
  </mergeCells>
  <printOptions horizontalCentered="1"/>
  <pageMargins left="0.17" right="0.17" top="0.66" bottom="0.17" header="0.25" footer="0.44"/>
  <pageSetup scale="47" orientation="landscape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view="pageBreakPreview" zoomScale="60" zoomScaleNormal="90" workbookViewId="0">
      <selection sqref="A1:J1"/>
    </sheetView>
  </sheetViews>
  <sheetFormatPr defaultColWidth="10.109375" defaultRowHeight="15"/>
  <cols>
    <col min="1" max="1" width="5.21875" style="6" customWidth="1"/>
    <col min="2" max="2" width="2.21875" style="6" customWidth="1"/>
    <col min="3" max="3" width="26.109375" style="6" customWidth="1"/>
    <col min="4" max="4" width="14.109375" style="6" customWidth="1"/>
    <col min="5" max="5" width="2.33203125" style="6" customWidth="1"/>
    <col min="6" max="6" width="14" style="6" customWidth="1"/>
    <col min="7" max="7" width="2.109375" style="6" customWidth="1"/>
    <col min="8" max="8" width="12.88671875" style="6" customWidth="1"/>
    <col min="9" max="9" width="2.109375" style="6" customWidth="1"/>
    <col min="10" max="10" width="13.88671875" style="6" customWidth="1"/>
    <col min="11" max="11" width="4.88671875" style="6" customWidth="1"/>
    <col min="12" max="12" width="6.5546875" style="6" bestFit="1" customWidth="1"/>
    <col min="13" max="13" width="11.109375" style="6" customWidth="1"/>
    <col min="14" max="14" width="8" style="6" bestFit="1" customWidth="1"/>
    <col min="15" max="15" width="12" style="6" customWidth="1"/>
    <col min="16" max="16" width="10.109375" style="6" customWidth="1"/>
    <col min="17" max="17" width="3.21875" style="6" customWidth="1"/>
    <col min="18" max="18" width="11.88671875" style="6" customWidth="1"/>
    <col min="19" max="19" width="1.33203125" style="6" customWidth="1"/>
    <col min="20" max="20" width="12.33203125" style="6" customWidth="1"/>
    <col min="21" max="21" width="1.6640625" style="6" customWidth="1"/>
    <col min="22" max="22" width="10.5546875" style="6" bestFit="1" customWidth="1"/>
    <col min="23" max="23" width="0.88671875" style="6" customWidth="1"/>
    <col min="24" max="24" width="10.44140625" style="6" bestFit="1" customWidth="1"/>
    <col min="25" max="16384" width="10.109375" style="6"/>
  </cols>
  <sheetData>
    <row r="1" spans="1:24">
      <c r="A1" s="309" t="s">
        <v>392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24">
      <c r="A2" s="309" t="s">
        <v>393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24">
      <c r="A3" s="309" t="s">
        <v>1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24">
      <c r="A4" s="309" t="s">
        <v>395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24">
      <c r="A5" s="10"/>
      <c r="B5" s="10"/>
      <c r="C5" s="10"/>
      <c r="D5" s="10"/>
      <c r="E5" s="10"/>
      <c r="F5" s="10"/>
      <c r="G5" s="10"/>
      <c r="H5" s="10"/>
      <c r="I5" s="10"/>
      <c r="J5" s="10"/>
    </row>
    <row r="7" spans="1:24">
      <c r="A7" s="11" t="s">
        <v>13</v>
      </c>
      <c r="I7" s="11"/>
      <c r="J7" s="12" t="s">
        <v>14</v>
      </c>
    </row>
    <row r="8" spans="1:24">
      <c r="A8" s="11" t="s">
        <v>15</v>
      </c>
      <c r="H8" s="11"/>
      <c r="I8" s="11"/>
      <c r="J8" s="13" t="s">
        <v>16</v>
      </c>
    </row>
    <row r="9" spans="1:24">
      <c r="A9" s="14" t="s">
        <v>17</v>
      </c>
      <c r="B9" s="15"/>
      <c r="C9" s="15"/>
      <c r="D9" s="15"/>
      <c r="E9" s="15"/>
      <c r="F9" s="15"/>
      <c r="G9" s="15"/>
      <c r="H9" s="14"/>
      <c r="I9" s="14"/>
      <c r="J9" s="16" t="s">
        <v>18</v>
      </c>
    </row>
    <row r="10" spans="1:24">
      <c r="D10" s="4" t="s">
        <v>19</v>
      </c>
      <c r="F10" s="17" t="s">
        <v>20</v>
      </c>
      <c r="J10" s="17" t="s">
        <v>20</v>
      </c>
      <c r="R10" s="18"/>
      <c r="S10" s="18"/>
      <c r="T10" s="18"/>
      <c r="U10" s="18"/>
      <c r="V10" s="18"/>
      <c r="W10" s="18"/>
      <c r="X10" s="18"/>
    </row>
    <row r="11" spans="1:24">
      <c r="A11" s="17" t="s">
        <v>21</v>
      </c>
      <c r="D11" s="17" t="s">
        <v>22</v>
      </c>
      <c r="F11" s="17" t="s">
        <v>22</v>
      </c>
      <c r="H11" s="17" t="s">
        <v>23</v>
      </c>
      <c r="J11" s="17" t="s">
        <v>22</v>
      </c>
      <c r="R11" s="18"/>
      <c r="S11" s="18"/>
      <c r="T11" s="18"/>
      <c r="U11" s="18"/>
      <c r="V11" s="18"/>
      <c r="W11" s="18"/>
      <c r="X11" s="18"/>
    </row>
    <row r="12" spans="1:24">
      <c r="A12" s="19" t="s">
        <v>24</v>
      </c>
      <c r="B12" s="15"/>
      <c r="C12" s="14" t="s">
        <v>3</v>
      </c>
      <c r="D12" s="19" t="s">
        <v>25</v>
      </c>
      <c r="E12" s="15"/>
      <c r="F12" s="19" t="s">
        <v>25</v>
      </c>
      <c r="G12" s="15"/>
      <c r="H12" s="19" t="s">
        <v>26</v>
      </c>
      <c r="I12" s="15"/>
      <c r="J12" s="19" t="s">
        <v>27</v>
      </c>
      <c r="L12" s="18"/>
      <c r="O12" s="20"/>
      <c r="P12" s="21"/>
      <c r="R12" s="18"/>
      <c r="S12" s="18"/>
      <c r="T12" s="18"/>
      <c r="U12" s="18"/>
      <c r="V12" s="22"/>
      <c r="W12" s="22"/>
      <c r="X12" s="18"/>
    </row>
    <row r="13" spans="1:24">
      <c r="D13" s="17"/>
      <c r="F13" s="17"/>
      <c r="H13" s="17"/>
      <c r="J13" s="17"/>
      <c r="L13" s="18"/>
      <c r="O13" s="21"/>
      <c r="P13" s="21"/>
      <c r="R13" s="23"/>
      <c r="S13" s="18"/>
      <c r="T13" s="18"/>
      <c r="U13" s="18"/>
      <c r="V13" s="23"/>
      <c r="W13" s="23"/>
      <c r="X13" s="18"/>
    </row>
    <row r="14" spans="1:24">
      <c r="F14" s="5"/>
      <c r="L14" s="18"/>
      <c r="O14" s="24"/>
      <c r="P14" s="24"/>
      <c r="R14" s="18"/>
      <c r="S14" s="18"/>
      <c r="T14" s="18"/>
      <c r="U14" s="18"/>
      <c r="V14" s="18"/>
      <c r="W14" s="18"/>
      <c r="X14" s="18"/>
    </row>
    <row r="15" spans="1:24">
      <c r="A15" s="17">
        <v>1</v>
      </c>
      <c r="C15" s="11" t="s">
        <v>28</v>
      </c>
      <c r="D15" s="25">
        <f>+C.2!D14</f>
        <v>159871899.65203637</v>
      </c>
      <c r="E15" s="5"/>
      <c r="F15" s="25">
        <f>C.2!O14</f>
        <v>166804655.47242033</v>
      </c>
      <c r="G15" s="26"/>
      <c r="H15" s="27">
        <v>3307688</v>
      </c>
      <c r="I15" s="26"/>
      <c r="J15" s="27">
        <f>+F15+H15</f>
        <v>170112343.47242033</v>
      </c>
      <c r="K15" s="26"/>
      <c r="L15" s="28"/>
      <c r="M15" s="27"/>
      <c r="N15" s="26"/>
      <c r="O15" s="29"/>
      <c r="P15" s="30"/>
      <c r="Q15" s="26"/>
      <c r="R15" s="31"/>
      <c r="S15" s="31"/>
      <c r="T15" s="31"/>
      <c r="U15" s="18"/>
      <c r="V15" s="18"/>
      <c r="W15" s="18"/>
      <c r="X15" s="18"/>
    </row>
    <row r="16" spans="1:24">
      <c r="D16" s="5"/>
      <c r="E16" s="5"/>
      <c r="F16" s="32"/>
      <c r="G16" s="26"/>
      <c r="H16" s="26"/>
      <c r="I16" s="26"/>
      <c r="J16" s="26"/>
      <c r="K16" s="26"/>
      <c r="L16" s="33"/>
      <c r="M16" s="26"/>
      <c r="N16" s="26"/>
      <c r="O16" s="34"/>
      <c r="P16" s="30"/>
      <c r="Q16" s="26"/>
      <c r="R16" s="35"/>
      <c r="S16" s="35"/>
      <c r="T16" s="36"/>
      <c r="U16" s="18"/>
      <c r="V16" s="18"/>
      <c r="W16" s="18"/>
      <c r="X16" s="18"/>
    </row>
    <row r="17" spans="1:24">
      <c r="A17" s="17">
        <v>2</v>
      </c>
      <c r="C17" s="11" t="s">
        <v>29</v>
      </c>
      <c r="D17" s="5"/>
      <c r="E17" s="5"/>
      <c r="F17" s="32"/>
      <c r="G17" s="26"/>
      <c r="H17" s="26"/>
      <c r="I17" s="26"/>
      <c r="J17" s="26"/>
      <c r="K17" s="26"/>
      <c r="L17" s="33"/>
      <c r="M17" s="26"/>
      <c r="N17" s="26"/>
      <c r="O17" s="34"/>
      <c r="P17" s="30"/>
      <c r="Q17" s="26"/>
      <c r="R17" s="35"/>
      <c r="S17" s="35"/>
      <c r="T17" s="36"/>
      <c r="U17" s="18"/>
      <c r="V17" s="18"/>
      <c r="W17" s="18"/>
      <c r="X17" s="18"/>
    </row>
    <row r="18" spans="1:24">
      <c r="A18" s="17">
        <v>3</v>
      </c>
      <c r="C18" s="37" t="s">
        <v>30</v>
      </c>
      <c r="D18" s="38">
        <f>+C.2!D17</f>
        <v>77033020.869385153</v>
      </c>
      <c r="E18" s="39"/>
      <c r="F18" s="38">
        <f>C.2!O17</f>
        <v>79378176.690454662</v>
      </c>
      <c r="G18" s="38"/>
      <c r="H18" s="38"/>
      <c r="I18" s="38"/>
      <c r="J18" s="38">
        <f>+F18+H18</f>
        <v>79378176.690454662</v>
      </c>
      <c r="K18" s="26"/>
      <c r="L18" s="28"/>
      <c r="M18" s="26"/>
      <c r="O18" s="29"/>
      <c r="P18" s="30"/>
      <c r="Q18" s="26"/>
      <c r="R18" s="31"/>
      <c r="S18" s="40"/>
      <c r="T18" s="31"/>
      <c r="U18" s="18"/>
      <c r="V18" s="18"/>
      <c r="W18" s="18"/>
      <c r="X18" s="18"/>
    </row>
    <row r="19" spans="1:24">
      <c r="A19" s="17">
        <v>4</v>
      </c>
      <c r="C19" s="37" t="s">
        <v>31</v>
      </c>
      <c r="D19" s="38">
        <f>SUM(C.2!D18:D25)</f>
        <v>26647444.677202497</v>
      </c>
      <c r="E19" s="39"/>
      <c r="F19" s="38">
        <f>SUM(C.2!O18:O25)</f>
        <v>25474588.783307165</v>
      </c>
      <c r="G19" s="38"/>
      <c r="H19" s="38">
        <v>16538.439999999999</v>
      </c>
      <c r="I19" s="38"/>
      <c r="J19" s="38">
        <f>+F19+H19</f>
        <v>25491127.223307166</v>
      </c>
      <c r="K19" s="26"/>
      <c r="L19" s="28"/>
      <c r="M19" s="30"/>
      <c r="N19" s="41"/>
      <c r="O19" s="29"/>
      <c r="P19" s="30"/>
      <c r="Q19" s="26"/>
      <c r="R19" s="31"/>
      <c r="S19" s="40"/>
      <c r="T19" s="31"/>
      <c r="U19" s="18"/>
      <c r="V19" s="18"/>
      <c r="W19" s="18"/>
      <c r="X19" s="18"/>
    </row>
    <row r="20" spans="1:24">
      <c r="A20" s="17">
        <v>5</v>
      </c>
      <c r="C20" s="11" t="s">
        <v>32</v>
      </c>
      <c r="D20" s="38">
        <f>+C.2!D26</f>
        <v>18252729.938099388</v>
      </c>
      <c r="E20" s="39"/>
      <c r="F20" s="38">
        <f>+C.2!O26</f>
        <v>19444465.926407062</v>
      </c>
      <c r="G20" s="42"/>
      <c r="H20" s="38"/>
      <c r="I20" s="42"/>
      <c r="J20" s="42">
        <f>+F20+H20</f>
        <v>19444465.926407062</v>
      </c>
      <c r="K20" s="26"/>
      <c r="L20" s="28"/>
      <c r="M20" s="26"/>
      <c r="N20" s="43"/>
      <c r="O20" s="29"/>
      <c r="P20" s="30"/>
      <c r="Q20" s="26"/>
      <c r="R20" s="31"/>
      <c r="S20" s="40"/>
      <c r="T20" s="31"/>
      <c r="U20" s="18"/>
      <c r="V20" s="18"/>
      <c r="W20" s="18"/>
      <c r="X20" s="18"/>
    </row>
    <row r="21" spans="1:24">
      <c r="A21" s="17">
        <v>6</v>
      </c>
      <c r="C21" s="11" t="s">
        <v>33</v>
      </c>
      <c r="D21" s="38">
        <f>+C.2!D27</f>
        <v>6437544.724313166</v>
      </c>
      <c r="E21" s="39"/>
      <c r="F21" s="38">
        <f>+C.2!O27</f>
        <v>6100220.1526932763</v>
      </c>
      <c r="G21" s="42"/>
      <c r="H21" s="38">
        <v>6287.9148879999993</v>
      </c>
      <c r="I21" s="42"/>
      <c r="J21" s="42">
        <f>+F21+H21</f>
        <v>6106508.0675812764</v>
      </c>
      <c r="K21" s="26"/>
      <c r="L21" s="28"/>
      <c r="M21" s="30"/>
      <c r="N21" s="41"/>
      <c r="O21" s="29"/>
      <c r="P21" s="30"/>
      <c r="Q21" s="26"/>
      <c r="R21" s="31"/>
      <c r="S21" s="40"/>
      <c r="T21" s="31"/>
      <c r="U21" s="18"/>
      <c r="V21" s="18"/>
      <c r="W21" s="18"/>
      <c r="X21" s="18"/>
    </row>
    <row r="22" spans="1:24">
      <c r="A22" s="17">
        <v>7</v>
      </c>
      <c r="C22" s="11"/>
      <c r="D22" s="44"/>
      <c r="E22" s="44"/>
      <c r="F22" s="42"/>
      <c r="G22" s="42"/>
      <c r="H22" s="38"/>
      <c r="I22" s="42"/>
      <c r="J22" s="42"/>
      <c r="K22" s="26"/>
      <c r="L22" s="33"/>
      <c r="M22" s="26"/>
      <c r="O22" s="29"/>
      <c r="P22" s="30"/>
      <c r="Q22" s="26"/>
      <c r="R22" s="45"/>
      <c r="S22" s="45"/>
      <c r="T22" s="46"/>
      <c r="U22" s="18"/>
      <c r="V22" s="18"/>
      <c r="W22" s="18"/>
      <c r="X22" s="18"/>
    </row>
    <row r="23" spans="1:24">
      <c r="A23" s="17">
        <v>8</v>
      </c>
      <c r="C23" s="11" t="s">
        <v>34</v>
      </c>
      <c r="D23" s="47">
        <v>9441570.4598264247</v>
      </c>
      <c r="E23" s="44"/>
      <c r="F23" s="47">
        <v>11144643.809522655</v>
      </c>
      <c r="G23" s="42"/>
      <c r="H23" s="47">
        <f>((+H15-H19-H21)*0.06)+((+H15-H19-H21-((+H15-H19-H21)*0.06))*0.35)</f>
        <v>1277811.1799485679</v>
      </c>
      <c r="I23" s="42"/>
      <c r="J23" s="48">
        <f>+F23+H23</f>
        <v>12422454.989471223</v>
      </c>
      <c r="K23" s="26"/>
      <c r="L23" s="28"/>
      <c r="M23" s="26"/>
      <c r="N23" s="26"/>
      <c r="O23" s="29"/>
      <c r="P23" s="30"/>
      <c r="Q23" s="26"/>
      <c r="R23" s="31"/>
      <c r="S23" s="40"/>
      <c r="T23" s="31"/>
      <c r="U23" s="18"/>
      <c r="V23" s="18"/>
      <c r="W23" s="18"/>
      <c r="X23" s="18"/>
    </row>
    <row r="24" spans="1:24">
      <c r="A24" s="17">
        <v>9</v>
      </c>
      <c r="C24" s="11" t="s">
        <v>35</v>
      </c>
      <c r="D24" s="27">
        <f>SUM(D18:D23)</f>
        <v>137812310.66882664</v>
      </c>
      <c r="F24" s="25">
        <f>SUM(F18:F23)</f>
        <v>141542095.36238483</v>
      </c>
      <c r="G24" s="26"/>
      <c r="H24" s="27">
        <f>SUM(H18:H23)</f>
        <v>1300637.5348365679</v>
      </c>
      <c r="I24" s="26"/>
      <c r="J24" s="27">
        <f>SUM(J18:J23)</f>
        <v>142842732.89722139</v>
      </c>
      <c r="K24" s="26"/>
      <c r="L24" s="28"/>
      <c r="M24" s="26"/>
      <c r="N24" s="26"/>
      <c r="O24" s="29"/>
      <c r="P24" s="30"/>
      <c r="Q24" s="26"/>
      <c r="R24" s="31"/>
      <c r="S24" s="40"/>
      <c r="T24" s="31"/>
      <c r="U24" s="18"/>
      <c r="V24" s="18"/>
      <c r="W24" s="18"/>
      <c r="X24" s="18"/>
    </row>
    <row r="25" spans="1:24">
      <c r="D25" s="26"/>
      <c r="F25" s="32"/>
      <c r="G25" s="26"/>
      <c r="H25" s="26"/>
      <c r="I25" s="26"/>
      <c r="J25" s="26"/>
      <c r="K25" s="26"/>
      <c r="L25" s="33"/>
      <c r="M25" s="26"/>
      <c r="N25" s="26"/>
      <c r="O25" s="34"/>
      <c r="P25" s="30"/>
      <c r="Q25" s="26"/>
      <c r="R25" s="31"/>
      <c r="S25" s="40"/>
      <c r="T25" s="31"/>
      <c r="U25" s="18"/>
      <c r="V25" s="18"/>
      <c r="W25" s="18"/>
      <c r="X25" s="18"/>
    </row>
    <row r="26" spans="1:24" ht="15.75" thickBot="1">
      <c r="A26" s="17">
        <v>10</v>
      </c>
      <c r="C26" s="11" t="s">
        <v>36</v>
      </c>
      <c r="D26" s="49">
        <f>D15-D24</f>
        <v>22059588.983209729</v>
      </c>
      <c r="F26" s="50">
        <f>F15-F24</f>
        <v>25262560.110035509</v>
      </c>
      <c r="G26" s="26"/>
      <c r="H26" s="50">
        <f>H15-H24</f>
        <v>2007050.4651634321</v>
      </c>
      <c r="I26" s="26"/>
      <c r="J26" s="49">
        <f>J15-J24</f>
        <v>27269610.575198948</v>
      </c>
      <c r="K26" s="26"/>
      <c r="L26" s="28"/>
      <c r="M26" s="26"/>
      <c r="N26" s="26"/>
      <c r="O26" s="29"/>
      <c r="P26" s="30"/>
      <c r="Q26" s="26"/>
      <c r="R26" s="31"/>
      <c r="S26" s="40"/>
      <c r="T26" s="31"/>
      <c r="U26" s="18"/>
      <c r="V26" s="18"/>
      <c r="W26" s="18"/>
      <c r="X26" s="18"/>
    </row>
    <row r="27" spans="1:24" ht="15.75" thickTop="1">
      <c r="F27" s="32"/>
      <c r="G27" s="26"/>
      <c r="H27" s="26"/>
      <c r="I27" s="26"/>
      <c r="J27" s="26"/>
      <c r="K27" s="26"/>
      <c r="L27" s="33"/>
      <c r="M27" s="26"/>
      <c r="N27" s="26"/>
      <c r="O27" s="26"/>
      <c r="P27" s="26"/>
      <c r="Q27" s="26"/>
      <c r="R27" s="18"/>
      <c r="S27" s="45"/>
      <c r="T27" s="36"/>
      <c r="U27" s="18"/>
      <c r="V27" s="18"/>
      <c r="W27" s="18"/>
      <c r="X27" s="18"/>
    </row>
    <row r="28" spans="1:24">
      <c r="A28" s="17">
        <v>11</v>
      </c>
      <c r="C28" s="11" t="s">
        <v>37</v>
      </c>
      <c r="D28" s="38">
        <v>296786302.03144002</v>
      </c>
      <c r="E28" s="44"/>
      <c r="F28" s="38">
        <v>335832639.48914093</v>
      </c>
      <c r="G28" s="42"/>
      <c r="H28" s="42"/>
      <c r="I28" s="42"/>
      <c r="J28" s="42">
        <v>335832639.48914093</v>
      </c>
      <c r="K28" s="26"/>
      <c r="L28" s="33"/>
      <c r="M28" s="26"/>
      <c r="N28" s="26"/>
      <c r="O28" s="26"/>
      <c r="P28" s="26"/>
      <c r="Q28" s="26"/>
      <c r="R28" s="31"/>
      <c r="S28" s="45"/>
      <c r="T28" s="31"/>
      <c r="U28" s="18"/>
      <c r="V28" s="18"/>
      <c r="W28" s="18"/>
      <c r="X28" s="18"/>
    </row>
    <row r="29" spans="1:24"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8"/>
      <c r="S29" s="18"/>
      <c r="T29" s="33"/>
      <c r="U29" s="18"/>
      <c r="V29" s="18"/>
      <c r="W29" s="18"/>
      <c r="X29" s="18"/>
    </row>
    <row r="30" spans="1:24">
      <c r="A30" s="17">
        <v>12</v>
      </c>
      <c r="C30" s="11" t="s">
        <v>38</v>
      </c>
      <c r="D30" s="51">
        <f>(D26/D28)</f>
        <v>7.4328191133541097E-2</v>
      </c>
      <c r="F30" s="51">
        <f>(F26/F28)</f>
        <v>7.5223659464619633E-2</v>
      </c>
      <c r="H30" s="52"/>
      <c r="J30" s="51">
        <f>(J26/J28)</f>
        <v>8.1200000740489983E-2</v>
      </c>
      <c r="K30" s="26"/>
      <c r="L30" s="26"/>
      <c r="M30" s="26"/>
      <c r="R30" s="53"/>
      <c r="S30" s="18"/>
      <c r="T30" s="53"/>
      <c r="U30" s="18"/>
      <c r="V30" s="53"/>
      <c r="W30" s="53"/>
      <c r="X30" s="53"/>
    </row>
    <row r="31" spans="1:24">
      <c r="F31" s="26"/>
      <c r="H31" s="52"/>
      <c r="J31" s="26"/>
      <c r="K31" s="26"/>
      <c r="L31" s="26"/>
      <c r="M31" s="26"/>
      <c r="R31" s="18"/>
      <c r="S31" s="18"/>
      <c r="T31" s="18"/>
      <c r="U31" s="18"/>
      <c r="V31" s="18"/>
      <c r="W31" s="18"/>
      <c r="X31" s="18"/>
    </row>
    <row r="32" spans="1:24">
      <c r="F32" s="26"/>
      <c r="H32" s="26"/>
      <c r="J32" s="26"/>
      <c r="K32" s="26"/>
      <c r="L32" s="26"/>
      <c r="M32" s="26"/>
      <c r="R32" s="18"/>
      <c r="S32" s="18"/>
      <c r="T32" s="18"/>
      <c r="U32" s="18"/>
      <c r="V32" s="18"/>
      <c r="W32" s="18"/>
      <c r="X32" s="18"/>
    </row>
    <row r="33" spans="3:24">
      <c r="C33" s="54"/>
      <c r="D33" s="55"/>
      <c r="E33" s="55"/>
      <c r="F33" s="55"/>
      <c r="G33" s="55"/>
      <c r="H33" s="55"/>
      <c r="I33" s="55"/>
      <c r="J33" s="55"/>
      <c r="K33" s="26"/>
      <c r="L33" s="26"/>
      <c r="M33" s="26"/>
      <c r="R33" s="18"/>
      <c r="S33" s="18"/>
      <c r="T33" s="18"/>
      <c r="U33" s="18"/>
      <c r="V33" s="18"/>
      <c r="W33" s="18"/>
      <c r="X33" s="18"/>
    </row>
    <row r="34" spans="3:24">
      <c r="F34" s="26"/>
      <c r="K34" s="26"/>
      <c r="L34" s="26"/>
      <c r="M34" s="26"/>
    </row>
    <row r="35" spans="3:24">
      <c r="F35" s="26"/>
      <c r="K35" s="26"/>
      <c r="L35" s="26"/>
      <c r="M35" s="26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 xml:space="preserve">&amp;R&amp;10CASE NO. 2015-00343
FR_16(8)(c)
ATTACHMENT 1
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6" customWidth="1"/>
    <col min="2" max="2" width="2.21875" style="6" customWidth="1"/>
    <col min="3" max="3" width="27.5546875" style="6" customWidth="1"/>
    <col min="4" max="4" width="14.21875" style="6" customWidth="1"/>
    <col min="5" max="5" width="1.33203125" style="6" customWidth="1"/>
    <col min="6" max="6" width="12.6640625" style="6" customWidth="1"/>
    <col min="7" max="7" width="6.21875" style="6" bestFit="1" customWidth="1"/>
    <col min="8" max="8" width="7.33203125" style="6" customWidth="1"/>
    <col min="9" max="9" width="6" style="6" customWidth="1"/>
    <col min="10" max="10" width="1.44140625" style="6" customWidth="1"/>
    <col min="11" max="11" width="14.21875" style="6" customWidth="1"/>
    <col min="12" max="12" width="1.44140625" style="6" customWidth="1"/>
    <col min="13" max="13" width="12.33203125" style="6" customWidth="1"/>
    <col min="14" max="14" width="14.5546875" style="6" customWidth="1"/>
    <col min="15" max="15" width="14.77734375" style="6" customWidth="1"/>
    <col min="16" max="16" width="11.77734375" style="6" bestFit="1" customWidth="1"/>
    <col min="17" max="17" width="2.109375" style="6" customWidth="1"/>
    <col min="18" max="18" width="8.5546875" style="6" customWidth="1"/>
    <col min="19" max="21" width="7.109375" style="6"/>
    <col min="22" max="22" width="8" style="6" bestFit="1" customWidth="1"/>
    <col min="23" max="23" width="9.21875" style="6" customWidth="1"/>
    <col min="24" max="16384" width="7.109375" style="6"/>
  </cols>
  <sheetData>
    <row r="1" spans="1:20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20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0">
      <c r="A3" s="310" t="s">
        <v>39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20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</row>
    <row r="5" spans="1:20">
      <c r="A5" s="310" t="s">
        <v>395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</row>
    <row r="6" spans="1:20">
      <c r="C6" s="56"/>
    </row>
    <row r="7" spans="1:20">
      <c r="A7" s="11" t="str">
        <f>C.1!A7</f>
        <v>Data:__X____Base Period___X___Forecasted Period</v>
      </c>
      <c r="K7" s="57"/>
      <c r="O7" s="12" t="s">
        <v>40</v>
      </c>
    </row>
    <row r="8" spans="1:20">
      <c r="A8" s="11" t="str">
        <f>C.1!A8</f>
        <v>Type of Filing:___X____Original________Updated ________Revised</v>
      </c>
      <c r="K8" s="57"/>
      <c r="O8" s="58" t="s">
        <v>41</v>
      </c>
    </row>
    <row r="9" spans="1:20">
      <c r="A9" s="59" t="str">
        <f>C.1!A9</f>
        <v>Workpaper Reference No(s).____________________</v>
      </c>
      <c r="B9" s="15"/>
      <c r="C9" s="15"/>
      <c r="D9" s="15"/>
      <c r="E9" s="15"/>
      <c r="F9" s="15"/>
      <c r="G9" s="15"/>
      <c r="H9" s="15"/>
      <c r="I9" s="15"/>
      <c r="J9" s="15"/>
      <c r="K9" s="60"/>
      <c r="L9" s="15"/>
      <c r="M9" s="3"/>
      <c r="N9" s="3"/>
      <c r="O9" s="61" t="str">
        <f>C.1!J9</f>
        <v>Witness: Waller, Smith</v>
      </c>
    </row>
    <row r="10" spans="1:20">
      <c r="D10" s="17" t="s">
        <v>42</v>
      </c>
      <c r="G10" s="62"/>
      <c r="H10" s="4" t="s">
        <v>43</v>
      </c>
      <c r="K10" s="17" t="s">
        <v>20</v>
      </c>
      <c r="O10" s="4" t="s">
        <v>44</v>
      </c>
    </row>
    <row r="11" spans="1:20">
      <c r="A11" s="63" t="s">
        <v>21</v>
      </c>
      <c r="C11" s="17" t="s">
        <v>45</v>
      </c>
      <c r="D11" s="63" t="s">
        <v>46</v>
      </c>
      <c r="F11" s="4" t="s">
        <v>47</v>
      </c>
      <c r="G11" s="4" t="s">
        <v>48</v>
      </c>
      <c r="H11" s="17" t="s">
        <v>49</v>
      </c>
      <c r="I11" s="4" t="s">
        <v>48</v>
      </c>
      <c r="K11" s="63" t="s">
        <v>46</v>
      </c>
      <c r="M11" s="4" t="s">
        <v>50</v>
      </c>
      <c r="N11" s="4" t="s">
        <v>48</v>
      </c>
      <c r="O11" s="4" t="s">
        <v>51</v>
      </c>
    </row>
    <row r="12" spans="1:20">
      <c r="A12" s="64" t="s">
        <v>24</v>
      </c>
      <c r="B12" s="15"/>
      <c r="C12" s="64" t="s">
        <v>52</v>
      </c>
      <c r="D12" s="19" t="s">
        <v>53</v>
      </c>
      <c r="E12" s="15"/>
      <c r="F12" s="19" t="s">
        <v>54</v>
      </c>
      <c r="G12" s="65" t="s">
        <v>55</v>
      </c>
      <c r="H12" s="19" t="s">
        <v>56</v>
      </c>
      <c r="I12" s="65" t="s">
        <v>55</v>
      </c>
      <c r="J12" s="15"/>
      <c r="K12" s="19" t="s">
        <v>53</v>
      </c>
      <c r="L12" s="15"/>
      <c r="M12" s="66" t="s">
        <v>54</v>
      </c>
      <c r="N12" s="65" t="s">
        <v>55</v>
      </c>
      <c r="O12" s="1" t="s">
        <v>57</v>
      </c>
    </row>
    <row r="13" spans="1:20">
      <c r="C13" s="67"/>
      <c r="D13" s="17"/>
      <c r="F13" s="17"/>
      <c r="H13" s="17"/>
      <c r="K13" s="68"/>
      <c r="M13" s="69"/>
      <c r="O13" s="17"/>
    </row>
    <row r="14" spans="1:20">
      <c r="A14" s="70">
        <v>1</v>
      </c>
      <c r="C14" s="11" t="s">
        <v>28</v>
      </c>
      <c r="D14" s="71">
        <f>+'C.2.1 B'!D32</f>
        <v>159871899.65203637</v>
      </c>
      <c r="E14" s="5"/>
      <c r="F14" s="25">
        <f>+K14-D14</f>
        <v>6932755.820383966</v>
      </c>
      <c r="G14" s="72" t="s">
        <v>58</v>
      </c>
      <c r="H14" s="32"/>
      <c r="I14" s="5"/>
      <c r="J14" s="5"/>
      <c r="K14" s="71">
        <f>'C.2.1 F'!D28</f>
        <v>166804655.47242033</v>
      </c>
      <c r="L14" s="73"/>
      <c r="M14" s="25">
        <v>0</v>
      </c>
      <c r="N14" s="73"/>
      <c r="O14" s="25">
        <f>+K14+M14</f>
        <v>166804655.47242033</v>
      </c>
      <c r="P14" s="74"/>
    </row>
    <row r="15" spans="1:20">
      <c r="A15" s="75">
        <v>2</v>
      </c>
      <c r="C15" s="62"/>
      <c r="D15" s="73"/>
      <c r="E15" s="5"/>
      <c r="F15" s="73"/>
      <c r="G15" s="73"/>
      <c r="H15" s="73"/>
      <c r="I15" s="5"/>
      <c r="J15" s="5"/>
      <c r="K15" s="73"/>
      <c r="L15" s="73"/>
      <c r="M15" s="76"/>
      <c r="N15" s="73"/>
      <c r="O15" s="76"/>
      <c r="P15" s="74"/>
    </row>
    <row r="16" spans="1:20">
      <c r="A16" s="70">
        <v>3</v>
      </c>
      <c r="C16" s="11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76"/>
      <c r="N16" s="5"/>
      <c r="O16" s="76"/>
      <c r="P16" s="74"/>
      <c r="Q16" s="52"/>
      <c r="S16" s="52"/>
      <c r="T16" s="74"/>
    </row>
    <row r="17" spans="1:23">
      <c r="A17" s="75">
        <v>4</v>
      </c>
      <c r="C17" s="37" t="s">
        <v>30</v>
      </c>
      <c r="D17" s="77">
        <f>+'C.2.1 B'!D104</f>
        <v>77033020.869385153</v>
      </c>
      <c r="E17" s="5"/>
      <c r="F17" s="38">
        <f t="shared" ref="F17:F28" si="0">+K17-D17-H17</f>
        <v>2345155.8210695088</v>
      </c>
      <c r="G17" s="72" t="s">
        <v>58</v>
      </c>
      <c r="H17" s="32"/>
      <c r="I17" s="5"/>
      <c r="J17" s="5"/>
      <c r="K17" s="77">
        <f>'C.2.1 F'!D100</f>
        <v>79378176.690454662</v>
      </c>
      <c r="L17" s="73"/>
      <c r="M17" s="38">
        <v>0</v>
      </c>
      <c r="N17" s="73"/>
      <c r="O17" s="38">
        <f t="shared" ref="O17:O22" si="1">+K17+M17</f>
        <v>79378176.690454662</v>
      </c>
      <c r="P17" s="74"/>
      <c r="Q17" s="52"/>
      <c r="S17" s="52"/>
      <c r="T17" s="74"/>
    </row>
    <row r="18" spans="1:23">
      <c r="A18" s="70">
        <v>5</v>
      </c>
      <c r="C18" s="37" t="s">
        <v>59</v>
      </c>
      <c r="D18" s="78">
        <f>+'C.2.1 B'!D38+'C.2.1 B'!D42</f>
        <v>97.508702239093509</v>
      </c>
      <c r="E18" s="5"/>
      <c r="F18" s="38">
        <f t="shared" si="0"/>
        <v>6.2124282752623543</v>
      </c>
      <c r="G18" s="72" t="s">
        <v>58</v>
      </c>
      <c r="H18" s="32"/>
      <c r="I18" s="5"/>
      <c r="J18" s="5"/>
      <c r="K18" s="77">
        <f>'C.2.1 F'!D34+'C.2.1 F'!D38</f>
        <v>103.72113051435586</v>
      </c>
      <c r="L18" s="32"/>
      <c r="M18" s="38">
        <v>0</v>
      </c>
      <c r="N18" s="32"/>
      <c r="O18" s="38">
        <f t="shared" si="1"/>
        <v>103.72113051435586</v>
      </c>
      <c r="P18" s="74"/>
    </row>
    <row r="19" spans="1:23">
      <c r="A19" s="75">
        <v>6</v>
      </c>
      <c r="C19" s="37" t="s">
        <v>60</v>
      </c>
      <c r="D19" s="78">
        <f>+'C.2.1 B'!D54+'C.2.1 B'!D64</f>
        <v>362408.55462948012</v>
      </c>
      <c r="E19" s="5"/>
      <c r="F19" s="38">
        <f t="shared" si="0"/>
        <v>-10202.418653225875</v>
      </c>
      <c r="G19" s="72" t="s">
        <v>58</v>
      </c>
      <c r="H19" s="32"/>
      <c r="I19" s="5"/>
      <c r="J19" s="5"/>
      <c r="K19" s="77">
        <f>'C.2.1 F'!D50+'C.2.1 F'!D60</f>
        <v>352206.13597625424</v>
      </c>
      <c r="L19" s="32"/>
      <c r="M19" s="38">
        <v>0</v>
      </c>
      <c r="N19" s="32"/>
      <c r="O19" s="38">
        <f t="shared" si="1"/>
        <v>352206.13597625424</v>
      </c>
      <c r="P19" s="74"/>
    </row>
    <row r="20" spans="1:23">
      <c r="A20" s="70">
        <v>7</v>
      </c>
      <c r="C20" s="37" t="s">
        <v>61</v>
      </c>
      <c r="D20" s="78">
        <f>+'C.2.1 B'!D74+'C.2.1 B'!D82</f>
        <v>362953.50522512116</v>
      </c>
      <c r="E20" s="5"/>
      <c r="F20" s="38">
        <f t="shared" si="0"/>
        <v>-9798.8198200067272</v>
      </c>
      <c r="G20" s="72" t="s">
        <v>58</v>
      </c>
      <c r="H20" s="32"/>
      <c r="I20" s="5"/>
      <c r="J20" s="5"/>
      <c r="K20" s="77">
        <f>'C.2.1 F'!D70+'C.2.1 F'!D78</f>
        <v>353154.68540511443</v>
      </c>
      <c r="L20" s="32"/>
      <c r="M20" s="38">
        <v>0</v>
      </c>
      <c r="N20" s="32"/>
      <c r="O20" s="38">
        <f t="shared" si="1"/>
        <v>353154.68540511443</v>
      </c>
      <c r="P20" s="74"/>
      <c r="R20" s="79"/>
      <c r="S20" s="79"/>
      <c r="T20" s="79"/>
      <c r="U20" s="79"/>
      <c r="V20" s="79"/>
      <c r="W20" s="79"/>
    </row>
    <row r="21" spans="1:23">
      <c r="A21" s="75">
        <v>8</v>
      </c>
      <c r="C21" s="80" t="s">
        <v>62</v>
      </c>
      <c r="D21" s="78">
        <f>+'C.2.1 B'!D119+'C.2.1 B'!D132</f>
        <v>7317820.6217355933</v>
      </c>
      <c r="E21" s="5"/>
      <c r="F21" s="38">
        <f t="shared" si="0"/>
        <v>-264089.70916668326</v>
      </c>
      <c r="G21" s="72" t="s">
        <v>58</v>
      </c>
      <c r="H21" s="32"/>
      <c r="I21" s="8" t="s">
        <v>63</v>
      </c>
      <c r="J21" s="5"/>
      <c r="K21" s="81">
        <f>'C.2.1 F'!D115+'C.2.1 F'!D128</f>
        <v>7053730.91256891</v>
      </c>
      <c r="L21" s="32"/>
      <c r="M21" s="38">
        <v>0</v>
      </c>
      <c r="N21" s="82"/>
      <c r="O21" s="38">
        <f t="shared" si="1"/>
        <v>7053730.91256891</v>
      </c>
      <c r="P21" s="74"/>
      <c r="R21" s="79"/>
      <c r="S21" s="79"/>
      <c r="T21" s="79"/>
      <c r="U21" s="79"/>
      <c r="V21" s="79"/>
      <c r="W21" s="79"/>
    </row>
    <row r="22" spans="1:23">
      <c r="A22" s="70">
        <v>9</v>
      </c>
      <c r="C22" s="80" t="s">
        <v>64</v>
      </c>
      <c r="D22" s="78">
        <f>+'C.2.1 B'!D139</f>
        <v>2146958.8701182501</v>
      </c>
      <c r="E22" s="5"/>
      <c r="F22" s="38">
        <f t="shared" si="0"/>
        <v>-326493.45884491457</v>
      </c>
      <c r="G22" s="72" t="s">
        <v>58</v>
      </c>
      <c r="H22" s="32"/>
      <c r="I22" s="8" t="s">
        <v>63</v>
      </c>
      <c r="J22" s="5"/>
      <c r="K22" s="77">
        <f>'C.2.1 F'!D135</f>
        <v>1820465.4112733356</v>
      </c>
      <c r="L22" s="32"/>
      <c r="M22" s="38">
        <v>0</v>
      </c>
      <c r="N22" s="32"/>
      <c r="O22" s="38">
        <f t="shared" si="1"/>
        <v>1820465.4112733356</v>
      </c>
      <c r="P22" s="74"/>
      <c r="R22" s="79"/>
      <c r="S22" s="79"/>
      <c r="T22" s="83"/>
      <c r="U22" s="79"/>
      <c r="V22" s="79"/>
      <c r="W22" s="79"/>
    </row>
    <row r="23" spans="1:23">
      <c r="A23" s="75">
        <v>10</v>
      </c>
      <c r="C23" s="37" t="s">
        <v>65</v>
      </c>
      <c r="D23" s="77">
        <f>+'C.2.1 B'!D146</f>
        <v>125336.2162084311</v>
      </c>
      <c r="E23" s="5"/>
      <c r="F23" s="38">
        <f t="shared" si="0"/>
        <v>-2179.5890117313538</v>
      </c>
      <c r="G23" s="72" t="s">
        <v>58</v>
      </c>
      <c r="H23" s="32"/>
      <c r="I23" s="8" t="s">
        <v>63</v>
      </c>
      <c r="J23" s="5"/>
      <c r="K23" s="77">
        <f>'C.2.1 F'!D142</f>
        <v>123156.62719669974</v>
      </c>
      <c r="L23" s="73"/>
      <c r="M23" s="38">
        <v>0</v>
      </c>
      <c r="N23" s="82"/>
      <c r="O23" s="38">
        <f>+K23+M23</f>
        <v>123156.62719669974</v>
      </c>
      <c r="P23" s="74"/>
      <c r="R23" s="79"/>
      <c r="S23" s="79"/>
      <c r="T23" s="84"/>
      <c r="U23" s="79"/>
      <c r="V23" s="79"/>
      <c r="W23" s="79"/>
    </row>
    <row r="24" spans="1:23">
      <c r="A24" s="70">
        <v>11</v>
      </c>
      <c r="C24" s="80" t="s">
        <v>66</v>
      </c>
      <c r="D24" s="77">
        <f>+'C.2.1 B'!D153</f>
        <v>337035.64807193889</v>
      </c>
      <c r="E24" s="5"/>
      <c r="F24" s="38">
        <f t="shared" si="0"/>
        <v>-7682.8330630506389</v>
      </c>
      <c r="G24" s="72" t="s">
        <v>58</v>
      </c>
      <c r="H24" s="32"/>
      <c r="I24" s="8" t="s">
        <v>63</v>
      </c>
      <c r="J24" s="5"/>
      <c r="K24" s="77">
        <f>'C.2.1 F'!D149</f>
        <v>329352.81500888825</v>
      </c>
      <c r="L24" s="73"/>
      <c r="M24" s="38">
        <v>-45795.870909826925</v>
      </c>
      <c r="N24" s="82" t="s">
        <v>67</v>
      </c>
      <c r="O24" s="38">
        <f>+K24+M24</f>
        <v>283556.94409906131</v>
      </c>
      <c r="P24" s="74"/>
      <c r="R24" s="79"/>
      <c r="S24" s="79"/>
      <c r="T24" s="84"/>
      <c r="U24" s="79"/>
      <c r="V24" s="79"/>
      <c r="W24" s="79"/>
    </row>
    <row r="25" spans="1:23">
      <c r="A25" s="75">
        <v>12</v>
      </c>
      <c r="C25" s="80" t="s">
        <v>68</v>
      </c>
      <c r="D25" s="77">
        <f>+'C.2.1 B'!D167+'C.2.1 B'!D171</f>
        <v>15994833.752511442</v>
      </c>
      <c r="E25" s="5"/>
      <c r="F25" s="38">
        <f t="shared" si="0"/>
        <v>824281.76744108647</v>
      </c>
      <c r="G25" s="72" t="s">
        <v>58</v>
      </c>
      <c r="H25" s="32"/>
      <c r="I25" s="8" t="s">
        <v>63</v>
      </c>
      <c r="J25" s="5"/>
      <c r="K25" s="77">
        <f>'C.2.1 F'!D163+'C.2.1 F'!D167</f>
        <v>16819115.519952528</v>
      </c>
      <c r="L25" s="73"/>
      <c r="M25" s="38">
        <v>-1330901.1742952522</v>
      </c>
      <c r="N25" s="82" t="s">
        <v>69</v>
      </c>
      <c r="O25" s="38">
        <f>+K25+M25</f>
        <v>15488214.345657276</v>
      </c>
      <c r="P25" s="74"/>
      <c r="Q25" s="52"/>
      <c r="R25" s="79"/>
      <c r="S25" s="79"/>
      <c r="T25" s="84"/>
      <c r="U25" s="79"/>
      <c r="V25" s="79"/>
      <c r="W25" s="79"/>
    </row>
    <row r="26" spans="1:23">
      <c r="A26" s="70">
        <v>13</v>
      </c>
      <c r="C26" s="85" t="s">
        <v>70</v>
      </c>
      <c r="D26" s="77">
        <f>+'C.2.1 B'!D175</f>
        <v>18252729.938099388</v>
      </c>
      <c r="E26" s="5"/>
      <c r="F26" s="38">
        <f t="shared" si="0"/>
        <v>1191735.9883076735</v>
      </c>
      <c r="G26" s="72" t="s">
        <v>58</v>
      </c>
      <c r="H26" s="32"/>
      <c r="I26" s="5"/>
      <c r="J26" s="5"/>
      <c r="K26" s="77">
        <f>'C.2.1 F'!D171</f>
        <v>19444465.926407062</v>
      </c>
      <c r="L26" s="73"/>
      <c r="M26" s="38">
        <f>O26-K26</f>
        <v>0</v>
      </c>
      <c r="N26" s="73"/>
      <c r="O26" s="77">
        <f>'C.2.1 F'!D171</f>
        <v>19444465.926407062</v>
      </c>
      <c r="P26" s="74"/>
      <c r="Q26" s="52"/>
      <c r="R26" s="79"/>
      <c r="S26" s="86"/>
      <c r="T26" s="84"/>
      <c r="U26" s="79"/>
      <c r="V26" s="79"/>
      <c r="W26" s="79"/>
    </row>
    <row r="27" spans="1:23">
      <c r="A27" s="75">
        <v>14</v>
      </c>
      <c r="C27" s="80" t="s">
        <v>71</v>
      </c>
      <c r="D27" s="77">
        <f>+'C.2.1 B'!D176</f>
        <v>6437544.724313166</v>
      </c>
      <c r="F27" s="42">
        <f t="shared" si="0"/>
        <v>-337324.5716198897</v>
      </c>
      <c r="G27" s="10" t="s">
        <v>58</v>
      </c>
      <c r="H27" s="26"/>
      <c r="K27" s="77">
        <f>'C.2.1 F'!D172</f>
        <v>6100220.1526932763</v>
      </c>
      <c r="L27" s="32"/>
      <c r="M27" s="38">
        <v>0</v>
      </c>
      <c r="N27" s="82"/>
      <c r="O27" s="42">
        <f>+K27+M27</f>
        <v>6100220.1526932763</v>
      </c>
      <c r="P27" s="74"/>
      <c r="Q27" s="52"/>
      <c r="S27" s="52"/>
      <c r="T27" s="26"/>
    </row>
    <row r="28" spans="1:23">
      <c r="A28" s="70">
        <v>15</v>
      </c>
      <c r="C28" s="85" t="s">
        <v>72</v>
      </c>
      <c r="D28" s="77">
        <f>+'C.2.1 B'!D177</f>
        <v>9441570.4598264247</v>
      </c>
      <c r="F28" s="42">
        <f t="shared" si="0"/>
        <v>1703073.3496962301</v>
      </c>
      <c r="H28" s="26"/>
      <c r="K28" s="77">
        <f>'C.2.1 F'!D173</f>
        <v>11144643.809522655</v>
      </c>
      <c r="L28" s="73"/>
      <c r="M28" s="77">
        <f>+O28-K28</f>
        <v>0</v>
      </c>
      <c r="N28" s="72"/>
      <c r="O28" s="77">
        <v>11144643.809522655</v>
      </c>
      <c r="P28" s="74"/>
      <c r="Q28" s="52"/>
      <c r="S28" s="52"/>
      <c r="T28" s="74"/>
    </row>
    <row r="29" spans="1:23">
      <c r="A29" s="75">
        <v>16</v>
      </c>
      <c r="C29" s="57"/>
      <c r="D29" s="87"/>
      <c r="F29" s="88"/>
      <c r="H29" s="89"/>
      <c r="K29" s="87"/>
      <c r="L29" s="26"/>
      <c r="M29" s="90"/>
      <c r="N29" s="26"/>
      <c r="O29" s="90"/>
      <c r="P29" s="74"/>
    </row>
    <row r="30" spans="1:23">
      <c r="A30" s="70">
        <v>17</v>
      </c>
      <c r="C30" s="56"/>
      <c r="D30" s="26"/>
      <c r="F30" s="26"/>
      <c r="H30" s="26"/>
      <c r="K30" s="26"/>
      <c r="L30" s="26"/>
      <c r="M30" s="91"/>
      <c r="N30" s="26"/>
      <c r="O30" s="91"/>
      <c r="P30" s="74"/>
      <c r="T30" s="92"/>
    </row>
    <row r="31" spans="1:23">
      <c r="A31" s="75">
        <v>18</v>
      </c>
      <c r="C31" s="11" t="s">
        <v>35</v>
      </c>
      <c r="D31" s="27">
        <f>SUM(D17:D29)</f>
        <v>137812310.66882661</v>
      </c>
      <c r="F31" s="27">
        <f>SUM(F17:F29)</f>
        <v>5106481.7387632718</v>
      </c>
      <c r="H31" s="27">
        <f>SUM(H21:H29)</f>
        <v>0</v>
      </c>
      <c r="K31" s="27">
        <f>SUM(K17:K29)</f>
        <v>142918792.40758991</v>
      </c>
      <c r="L31" s="26"/>
      <c r="M31" s="27">
        <f>SUM(M17:M29)</f>
        <v>-1376697.045205079</v>
      </c>
      <c r="N31" s="26"/>
      <c r="O31" s="27">
        <f>SUM(O17:O29)</f>
        <v>141542095.36238483</v>
      </c>
      <c r="P31" s="74"/>
    </row>
    <row r="32" spans="1:23">
      <c r="A32" s="70">
        <v>19</v>
      </c>
      <c r="D32" s="74"/>
      <c r="F32" s="74"/>
      <c r="H32" s="74"/>
      <c r="K32" s="74"/>
      <c r="L32" s="74"/>
      <c r="M32" s="74"/>
      <c r="N32" s="74"/>
      <c r="O32" s="74"/>
      <c r="P32" s="74"/>
    </row>
    <row r="33" spans="1:21" ht="15.75" thickBot="1">
      <c r="A33" s="75">
        <v>20</v>
      </c>
      <c r="C33" s="11" t="s">
        <v>73</v>
      </c>
      <c r="D33" s="49">
        <f>D14-D31</f>
        <v>22059588.983209759</v>
      </c>
      <c r="F33" s="49">
        <f>F14-F31</f>
        <v>1826274.0816206941</v>
      </c>
      <c r="H33" s="49">
        <f>H14-H31</f>
        <v>0</v>
      </c>
      <c r="K33" s="49">
        <f>K14-K31</f>
        <v>23885863.064830422</v>
      </c>
      <c r="L33" s="26"/>
      <c r="M33" s="49">
        <f>M14-M31</f>
        <v>1376697.045205079</v>
      </c>
      <c r="N33" s="26"/>
      <c r="O33" s="49">
        <f>O14-O31</f>
        <v>25262560.110035509</v>
      </c>
      <c r="P33" s="74"/>
      <c r="Q33" s="52"/>
      <c r="S33" s="52"/>
      <c r="T33" s="26"/>
      <c r="U33" s="26"/>
    </row>
    <row r="34" spans="1:21" ht="15.75" thickTop="1">
      <c r="A34" s="75"/>
      <c r="D34" s="26"/>
      <c r="F34" s="26"/>
      <c r="G34" s="26"/>
      <c r="H34" s="26"/>
      <c r="K34" s="93"/>
      <c r="L34" s="26"/>
      <c r="M34" s="93"/>
      <c r="N34" s="26"/>
      <c r="O34" s="26"/>
      <c r="P34" s="26"/>
      <c r="Q34" s="52"/>
      <c r="S34" s="52"/>
      <c r="T34" s="26"/>
      <c r="U34" s="26"/>
    </row>
    <row r="35" spans="1:21">
      <c r="A35" s="70"/>
      <c r="D35" s="94"/>
      <c r="F35" s="26"/>
      <c r="G35" s="26"/>
      <c r="H35" s="26"/>
      <c r="K35" s="94"/>
      <c r="L35" s="26"/>
      <c r="M35" s="52"/>
      <c r="N35" s="26"/>
      <c r="O35" s="94"/>
      <c r="P35" s="26"/>
    </row>
    <row r="36" spans="1:21">
      <c r="A36" s="70"/>
      <c r="C36" s="95"/>
      <c r="D36" s="30"/>
      <c r="E36" s="24"/>
      <c r="F36" s="30"/>
      <c r="G36" s="30"/>
      <c r="H36" s="30"/>
      <c r="I36" s="24"/>
      <c r="J36" s="24"/>
      <c r="K36" s="30"/>
      <c r="L36" s="26"/>
      <c r="M36" s="38"/>
      <c r="N36" s="26"/>
      <c r="O36" s="94"/>
      <c r="P36" s="26"/>
    </row>
    <row r="37" spans="1:21">
      <c r="A37" s="70"/>
      <c r="C37" s="24"/>
      <c r="D37" s="96"/>
      <c r="E37" s="24"/>
      <c r="F37" s="30"/>
      <c r="G37" s="30"/>
      <c r="H37" s="30"/>
      <c r="I37" s="24"/>
      <c r="J37" s="24"/>
      <c r="K37" s="96"/>
      <c r="L37" s="26"/>
      <c r="M37" s="52"/>
      <c r="N37" s="26"/>
      <c r="O37" s="94"/>
      <c r="P37" s="26"/>
    </row>
    <row r="38" spans="1:21">
      <c r="A38" s="75"/>
      <c r="B38" s="97"/>
      <c r="C38" s="95"/>
      <c r="D38" s="30"/>
      <c r="E38" s="24"/>
      <c r="F38" s="30"/>
      <c r="G38" s="30"/>
      <c r="H38" s="30"/>
      <c r="I38" s="24"/>
      <c r="J38" s="24"/>
      <c r="K38" s="30"/>
      <c r="L38" s="26"/>
      <c r="N38" s="26"/>
      <c r="P38" s="26"/>
    </row>
    <row r="39" spans="1:21">
      <c r="A39" s="70"/>
      <c r="B39" s="98"/>
      <c r="C39" s="95"/>
      <c r="D39" s="30"/>
      <c r="E39" s="24"/>
      <c r="F39" s="30"/>
      <c r="G39" s="30"/>
      <c r="H39" s="30"/>
      <c r="I39" s="24"/>
      <c r="J39" s="24"/>
      <c r="K39" s="30"/>
      <c r="L39" s="26"/>
      <c r="M39" s="52"/>
      <c r="N39" s="26"/>
      <c r="O39" s="52"/>
      <c r="P39" s="26"/>
      <c r="T39" s="92"/>
    </row>
    <row r="40" spans="1:21">
      <c r="D40" s="26"/>
      <c r="F40" s="26"/>
      <c r="G40" s="26"/>
      <c r="K40" s="26"/>
      <c r="L40" s="26"/>
      <c r="M40" s="30"/>
      <c r="N40" s="24"/>
    </row>
    <row r="41" spans="1:21">
      <c r="D41" s="26"/>
      <c r="F41" s="26"/>
      <c r="G41" s="26"/>
      <c r="H41" s="52"/>
      <c r="K41" s="26"/>
      <c r="L41" s="26"/>
      <c r="M41" s="30"/>
      <c r="N41" s="30"/>
      <c r="O41" s="52"/>
      <c r="P41" s="26"/>
    </row>
    <row r="42" spans="1:21">
      <c r="A42" s="56"/>
      <c r="D42" s="26"/>
      <c r="F42" s="26"/>
      <c r="G42" s="26"/>
      <c r="K42" s="26"/>
      <c r="L42" s="26"/>
      <c r="M42" s="30"/>
      <c r="N42" s="30"/>
      <c r="P42" s="26"/>
      <c r="Q42" s="52"/>
      <c r="S42" s="52"/>
      <c r="T42" s="26"/>
      <c r="U42" s="26"/>
    </row>
    <row r="43" spans="1:21">
      <c r="A43" s="56"/>
      <c r="D43" s="26"/>
      <c r="F43" s="26"/>
      <c r="G43" s="26"/>
      <c r="H43" s="52"/>
      <c r="K43" s="26"/>
      <c r="L43" s="26"/>
      <c r="M43" s="99"/>
      <c r="N43" s="30"/>
      <c r="O43" s="52"/>
      <c r="P43" s="26"/>
      <c r="Q43" s="52"/>
      <c r="S43" s="52"/>
      <c r="T43" s="26"/>
      <c r="U43" s="26"/>
    </row>
    <row r="44" spans="1:21">
      <c r="A44" s="56"/>
      <c r="C44" s="56"/>
      <c r="D44" s="26"/>
      <c r="F44" s="26"/>
      <c r="G44" s="26"/>
      <c r="M44" s="100"/>
      <c r="N44" s="24"/>
    </row>
    <row r="45" spans="1:21">
      <c r="A45" s="56"/>
      <c r="C45" s="56"/>
      <c r="D45" s="26"/>
      <c r="F45" s="26"/>
      <c r="G45" s="26"/>
    </row>
    <row r="46" spans="1:21">
      <c r="D46" s="26"/>
      <c r="F46" s="26"/>
      <c r="G46" s="26"/>
      <c r="K46" s="92"/>
      <c r="L46" s="92"/>
      <c r="N46" s="92"/>
      <c r="P46" s="92"/>
      <c r="T46" s="92"/>
    </row>
    <row r="47" spans="1:21">
      <c r="A47" s="56"/>
      <c r="D47" s="26"/>
      <c r="F47" s="26"/>
      <c r="G47" s="26"/>
    </row>
    <row r="48" spans="1:21">
      <c r="C48" s="62"/>
      <c r="E48" s="26"/>
      <c r="G48" s="26"/>
    </row>
    <row r="49" spans="1:23">
      <c r="A49" s="56"/>
      <c r="C49" s="56"/>
      <c r="E49" s="26"/>
      <c r="F49" s="52"/>
      <c r="G49" s="26"/>
      <c r="H49" s="52"/>
      <c r="K49" s="52"/>
      <c r="L49" s="74"/>
      <c r="M49" s="52"/>
      <c r="N49" s="74"/>
      <c r="O49" s="52"/>
      <c r="P49" s="74"/>
      <c r="Q49" s="52"/>
      <c r="S49" s="52"/>
      <c r="T49" s="26"/>
      <c r="V49" s="56"/>
    </row>
    <row r="50" spans="1:23">
      <c r="C50" s="56"/>
      <c r="D50" s="52"/>
      <c r="E50" s="26"/>
      <c r="F50" s="52"/>
      <c r="G50" s="26"/>
      <c r="H50" s="52"/>
      <c r="K50" s="52"/>
      <c r="L50" s="74"/>
      <c r="M50" s="52"/>
      <c r="N50" s="74"/>
      <c r="O50" s="52"/>
      <c r="P50" s="74"/>
      <c r="Q50" s="52"/>
      <c r="S50" s="52"/>
      <c r="T50" s="26"/>
    </row>
    <row r="51" spans="1:23">
      <c r="D51" s="52"/>
      <c r="V51" s="56"/>
    </row>
    <row r="52" spans="1:23">
      <c r="V52" s="74"/>
      <c r="W52" s="26"/>
    </row>
    <row r="53" spans="1:23">
      <c r="V53" s="74"/>
      <c r="W53" s="26"/>
    </row>
    <row r="56" spans="1:23">
      <c r="V56" s="92"/>
    </row>
    <row r="58" spans="1:23">
      <c r="S58" s="26"/>
      <c r="T58" s="26"/>
    </row>
    <row r="59" spans="1:23">
      <c r="E59" s="74"/>
      <c r="R59" s="74"/>
      <c r="S59" s="26"/>
      <c r="T59" s="26"/>
    </row>
    <row r="62" spans="1:23">
      <c r="R62" s="92"/>
    </row>
    <row r="63" spans="1:23">
      <c r="R63" s="74"/>
    </row>
    <row r="64" spans="1:23">
      <c r="R64" s="74"/>
    </row>
    <row r="65" spans="1:18">
      <c r="R65" s="74"/>
    </row>
    <row r="67" spans="1:18">
      <c r="A67" s="56"/>
    </row>
    <row r="68" spans="1:18">
      <c r="A68" s="56"/>
      <c r="C68" s="56"/>
      <c r="G68" s="92"/>
      <c r="I68" s="92"/>
      <c r="J68" s="92"/>
      <c r="L68" s="92"/>
      <c r="N68" s="92"/>
      <c r="P68" s="92"/>
      <c r="R68" s="92"/>
    </row>
    <row r="69" spans="1:18">
      <c r="G69" s="74"/>
      <c r="R69" s="74"/>
    </row>
    <row r="70" spans="1:18">
      <c r="A70" s="56"/>
    </row>
    <row r="71" spans="1:18">
      <c r="A71" s="56"/>
    </row>
    <row r="72" spans="1:18">
      <c r="A72" s="56"/>
    </row>
    <row r="73" spans="1:18">
      <c r="A73" s="56"/>
    </row>
    <row r="75" spans="1:18">
      <c r="A75" s="56"/>
    </row>
    <row r="76" spans="1:18">
      <c r="A76" s="56"/>
    </row>
    <row r="79" spans="1:18">
      <c r="A79" s="56"/>
    </row>
    <row r="80" spans="1:18">
      <c r="C80" s="56"/>
    </row>
    <row r="86" spans="7:18">
      <c r="G86" s="74"/>
      <c r="I86" s="74"/>
      <c r="J86" s="74"/>
      <c r="L86" s="74"/>
      <c r="N86" s="74"/>
      <c r="P86" s="74"/>
      <c r="R86" s="74"/>
    </row>
    <row r="87" spans="7:18">
      <c r="G87" s="74"/>
      <c r="I87" s="74"/>
      <c r="J87" s="74"/>
      <c r="L87" s="74"/>
      <c r="N87" s="74"/>
      <c r="P87" s="74"/>
      <c r="R87" s="74"/>
    </row>
    <row r="88" spans="7:18">
      <c r="G88" s="74"/>
      <c r="I88" s="74"/>
      <c r="J88" s="74"/>
      <c r="L88" s="74"/>
      <c r="N88" s="74"/>
      <c r="P88" s="74"/>
      <c r="R88" s="74"/>
    </row>
    <row r="89" spans="7:18">
      <c r="G89" s="74"/>
      <c r="I89" s="74"/>
      <c r="J89" s="74"/>
      <c r="L89" s="74"/>
      <c r="N89" s="74"/>
      <c r="P89" s="74"/>
      <c r="R89" s="74"/>
    </row>
    <row r="90" spans="7:18">
      <c r="G90" s="74"/>
      <c r="I90" s="74"/>
      <c r="J90" s="74"/>
      <c r="L90" s="74"/>
      <c r="N90" s="74"/>
      <c r="P90" s="74"/>
      <c r="R90" s="74"/>
    </row>
    <row r="91" spans="7:18">
      <c r="G91" s="74"/>
      <c r="I91" s="74"/>
      <c r="J91" s="74"/>
      <c r="L91" s="74"/>
      <c r="N91" s="74"/>
      <c r="P91" s="74"/>
      <c r="R91" s="74"/>
    </row>
    <row r="92" spans="7:18">
      <c r="G92" s="74"/>
      <c r="I92" s="74"/>
      <c r="J92" s="74"/>
      <c r="L92" s="74"/>
      <c r="N92" s="74"/>
      <c r="P92" s="74"/>
      <c r="R92" s="74"/>
    </row>
    <row r="93" spans="7:18">
      <c r="G93" s="74"/>
      <c r="I93" s="74"/>
      <c r="J93" s="74"/>
      <c r="L93" s="74"/>
      <c r="N93" s="74"/>
      <c r="P93" s="74"/>
      <c r="R93" s="74"/>
    </row>
    <row r="94" spans="7:18">
      <c r="G94" s="74"/>
      <c r="I94" s="74"/>
      <c r="J94" s="74"/>
      <c r="L94" s="74"/>
      <c r="N94" s="74"/>
      <c r="P94" s="74"/>
      <c r="R94" s="74"/>
    </row>
    <row r="95" spans="7:18">
      <c r="G95" s="74"/>
      <c r="I95" s="74"/>
      <c r="J95" s="74"/>
      <c r="L95" s="74"/>
      <c r="N95" s="74"/>
      <c r="P95" s="74"/>
      <c r="R95" s="74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60" zoomScaleNormal="80" workbookViewId="0">
      <pane ySplit="11" topLeftCell="A12" activePane="bottomLeft" state="frozen"/>
      <selection activeCell="C19" sqref="C19"/>
      <selection pane="bottomLeft" activeCell="A12" sqref="A12"/>
    </sheetView>
  </sheetViews>
  <sheetFormatPr defaultColWidth="8.44140625" defaultRowHeight="15.75" customHeight="1"/>
  <cols>
    <col min="1" max="1" width="4.77734375" style="101" customWidth="1"/>
    <col min="2" max="2" width="11.88671875" style="101" customWidth="1"/>
    <col min="3" max="3" width="49.109375" style="101" customWidth="1"/>
    <col min="4" max="4" width="14.44140625" style="101" customWidth="1"/>
    <col min="5" max="5" width="7.21875" style="101" customWidth="1"/>
    <col min="6" max="6" width="11.44140625" style="101" bestFit="1" customWidth="1"/>
    <col min="7" max="7" width="10" style="101" bestFit="1" customWidth="1"/>
    <col min="8" max="8" width="10.21875" style="101" customWidth="1"/>
    <col min="9" max="16384" width="8.44140625" style="101"/>
  </cols>
  <sheetData>
    <row r="1" spans="1:7" ht="15.75" customHeight="1">
      <c r="A1" s="311" t="s">
        <v>392</v>
      </c>
      <c r="B1" s="311"/>
      <c r="C1" s="311"/>
      <c r="D1" s="311"/>
    </row>
    <row r="2" spans="1:7" ht="15.75" customHeight="1">
      <c r="A2" s="311" t="s">
        <v>393</v>
      </c>
      <c r="B2" s="311"/>
      <c r="C2" s="311"/>
      <c r="D2" s="311"/>
    </row>
    <row r="3" spans="1:7" ht="15.75" customHeight="1">
      <c r="A3" s="311" t="s">
        <v>8</v>
      </c>
      <c r="B3" s="311"/>
      <c r="C3" s="311"/>
      <c r="D3" s="311"/>
    </row>
    <row r="4" spans="1:7" ht="15.75" customHeight="1">
      <c r="A4" s="311" t="s">
        <v>394</v>
      </c>
      <c r="B4" s="311"/>
      <c r="C4" s="311"/>
      <c r="D4" s="311"/>
    </row>
    <row r="5" spans="1:7" ht="15.75" customHeight="1">
      <c r="A5" s="102"/>
      <c r="B5" s="102"/>
      <c r="C5" s="103"/>
      <c r="D5" s="103"/>
    </row>
    <row r="6" spans="1:7" ht="15.75" customHeight="1">
      <c r="A6" s="104" t="s">
        <v>74</v>
      </c>
      <c r="D6" s="105" t="s">
        <v>75</v>
      </c>
    </row>
    <row r="7" spans="1:7" ht="15.75" customHeight="1">
      <c r="A7" s="11" t="s">
        <v>15</v>
      </c>
      <c r="D7" s="106" t="s">
        <v>76</v>
      </c>
    </row>
    <row r="8" spans="1:7" ht="15.75" customHeight="1">
      <c r="A8" s="107" t="s">
        <v>17</v>
      </c>
      <c r="B8" s="108"/>
      <c r="C8" s="108"/>
      <c r="D8" s="109" t="str">
        <f>C.1!J9</f>
        <v>Witness: Waller, Smith</v>
      </c>
    </row>
    <row r="9" spans="1:7" ht="15.75" customHeight="1">
      <c r="D9" s="110"/>
    </row>
    <row r="10" spans="1:7" ht="15.75" customHeight="1">
      <c r="A10" s="111" t="s">
        <v>21</v>
      </c>
      <c r="B10" s="110" t="s">
        <v>77</v>
      </c>
      <c r="C10" s="111" t="s">
        <v>77</v>
      </c>
      <c r="D10" s="110" t="s">
        <v>78</v>
      </c>
    </row>
    <row r="11" spans="1:7" ht="15.75" customHeight="1">
      <c r="A11" s="112" t="s">
        <v>24</v>
      </c>
      <c r="B11" s="113" t="s">
        <v>79</v>
      </c>
      <c r="C11" s="112" t="s">
        <v>80</v>
      </c>
      <c r="D11" s="113" t="s">
        <v>81</v>
      </c>
    </row>
    <row r="12" spans="1:7" ht="15.75" customHeight="1">
      <c r="D12" s="110" t="s">
        <v>82</v>
      </c>
    </row>
    <row r="13" spans="1:7" ht="15.75" customHeight="1">
      <c r="A13" s="110">
        <v>1</v>
      </c>
      <c r="B13" s="114"/>
      <c r="C13" s="115" t="s">
        <v>83</v>
      </c>
    </row>
    <row r="14" spans="1:7" ht="15.75" customHeight="1">
      <c r="A14" s="110">
        <f>A13+1</f>
        <v>2</v>
      </c>
      <c r="B14" s="114"/>
      <c r="C14" s="115" t="s">
        <v>84</v>
      </c>
      <c r="D14" s="116"/>
    </row>
    <row r="15" spans="1:7" ht="15.75" customHeight="1">
      <c r="A15" s="110">
        <f t="shared" ref="A15:A78" si="0">A14+1</f>
        <v>3</v>
      </c>
      <c r="B15" s="117">
        <v>4800</v>
      </c>
      <c r="C15" s="118" t="s">
        <v>85</v>
      </c>
      <c r="D15" s="119">
        <f>-'C.2.2 B 09'!P17</f>
        <v>98207124.629063994</v>
      </c>
      <c r="F15" s="120"/>
      <c r="G15" s="120"/>
    </row>
    <row r="16" spans="1:7" ht="15.75" customHeight="1">
      <c r="A16" s="110">
        <f t="shared" si="0"/>
        <v>4</v>
      </c>
      <c r="B16" s="121">
        <v>4805</v>
      </c>
      <c r="C16" s="122" t="s">
        <v>86</v>
      </c>
      <c r="D16" s="123">
        <f>-'C.2.2 B 09'!P18</f>
        <v>-6787293.5899999999</v>
      </c>
      <c r="F16" s="120"/>
      <c r="G16" s="120"/>
    </row>
    <row r="17" spans="1:8" ht="15.75" customHeight="1">
      <c r="A17" s="110">
        <f t="shared" si="0"/>
        <v>5</v>
      </c>
      <c r="B17" s="121">
        <v>4811</v>
      </c>
      <c r="C17" s="122" t="s">
        <v>87</v>
      </c>
      <c r="D17" s="123">
        <f>-'C.2.2 B 09'!P19</f>
        <v>40950740.394301347</v>
      </c>
      <c r="F17" s="120"/>
      <c r="G17" s="120"/>
    </row>
    <row r="18" spans="1:8" ht="15.75" customHeight="1">
      <c r="A18" s="110">
        <f t="shared" si="0"/>
        <v>6</v>
      </c>
      <c r="B18" s="121">
        <v>4812</v>
      </c>
      <c r="C18" s="122" t="s">
        <v>88</v>
      </c>
      <c r="D18" s="123">
        <f>-'C.2.2 B 09'!P20</f>
        <v>5451325.746213723</v>
      </c>
      <c r="F18" s="120"/>
      <c r="G18" s="120"/>
    </row>
    <row r="19" spans="1:8" ht="15.75" customHeight="1">
      <c r="A19" s="110">
        <f t="shared" si="0"/>
        <v>7</v>
      </c>
      <c r="B19" s="121">
        <v>4815</v>
      </c>
      <c r="C19" s="122" t="s">
        <v>89</v>
      </c>
      <c r="D19" s="123">
        <f>-'C.2.2 B 09'!P21</f>
        <v>-2972320.01</v>
      </c>
      <c r="F19" s="120"/>
      <c r="G19" s="120"/>
    </row>
    <row r="20" spans="1:8" ht="15.75" customHeight="1">
      <c r="A20" s="110">
        <f t="shared" si="0"/>
        <v>8</v>
      </c>
      <c r="B20" s="121">
        <v>4816</v>
      </c>
      <c r="C20" s="122" t="s">
        <v>90</v>
      </c>
      <c r="D20" s="123">
        <f>-'C.2.2 B 09'!P22</f>
        <v>-114797.31</v>
      </c>
      <c r="F20" s="120"/>
      <c r="G20" s="120"/>
    </row>
    <row r="21" spans="1:8" ht="15.75" customHeight="1">
      <c r="A21" s="110">
        <f t="shared" si="0"/>
        <v>9</v>
      </c>
      <c r="B21" s="121">
        <v>4820</v>
      </c>
      <c r="C21" s="122" t="s">
        <v>91</v>
      </c>
      <c r="D21" s="123">
        <f>-'C.2.2 B 09'!P23</f>
        <v>7553488.8796820827</v>
      </c>
      <c r="F21" s="120"/>
      <c r="G21" s="120"/>
    </row>
    <row r="22" spans="1:8" ht="15.75" customHeight="1">
      <c r="A22" s="110">
        <f t="shared" si="0"/>
        <v>10</v>
      </c>
      <c r="B22" s="121">
        <v>4825</v>
      </c>
      <c r="C22" s="122" t="s">
        <v>92</v>
      </c>
      <c r="D22" s="124">
        <f>-'C.2.2 B 09'!P24</f>
        <v>-629193.38</v>
      </c>
      <c r="F22" s="120"/>
      <c r="G22" s="120"/>
    </row>
    <row r="23" spans="1:8" ht="15.75" customHeight="1">
      <c r="A23" s="110">
        <f t="shared" si="0"/>
        <v>11</v>
      </c>
      <c r="B23" s="110"/>
      <c r="C23" s="111" t="s">
        <v>93</v>
      </c>
      <c r="D23" s="119">
        <f>SUM(D15:D22)</f>
        <v>141659075.35926118</v>
      </c>
    </row>
    <row r="24" spans="1:8" ht="15.75" customHeight="1">
      <c r="A24" s="110">
        <f t="shared" si="0"/>
        <v>12</v>
      </c>
      <c r="B24" s="110"/>
      <c r="D24" s="116"/>
    </row>
    <row r="25" spans="1:8" ht="15.75" customHeight="1">
      <c r="A25" s="110">
        <f t="shared" si="0"/>
        <v>13</v>
      </c>
      <c r="B25" s="125"/>
      <c r="C25" s="115" t="s">
        <v>94</v>
      </c>
      <c r="D25" s="126"/>
    </row>
    <row r="26" spans="1:8" ht="15.75" customHeight="1">
      <c r="A26" s="110">
        <f t="shared" si="0"/>
        <v>14</v>
      </c>
      <c r="B26" s="117">
        <v>4870</v>
      </c>
      <c r="C26" s="118" t="s">
        <v>95</v>
      </c>
      <c r="D26" s="119">
        <f>-'C.2.2 B 09'!P25</f>
        <v>1230383.6535251739</v>
      </c>
    </row>
    <row r="27" spans="1:8" ht="15.75" customHeight="1">
      <c r="A27" s="110">
        <f t="shared" si="0"/>
        <v>15</v>
      </c>
      <c r="B27" s="117">
        <v>4880</v>
      </c>
      <c r="C27" s="118" t="s">
        <v>96</v>
      </c>
      <c r="D27" s="123">
        <f>-'C.2.2 B 09'!P26</f>
        <v>796529.01</v>
      </c>
    </row>
    <row r="28" spans="1:8" ht="15.75" customHeight="1">
      <c r="A28" s="110">
        <f t="shared" si="0"/>
        <v>16</v>
      </c>
      <c r="B28" s="127">
        <v>4893</v>
      </c>
      <c r="C28" s="128" t="s">
        <v>97</v>
      </c>
      <c r="D28" s="123">
        <f>-'C.2.2 B 09'!P27</f>
        <v>14819845.18675</v>
      </c>
      <c r="F28" s="129"/>
    </row>
    <row r="29" spans="1:8" ht="15.75" customHeight="1">
      <c r="A29" s="110">
        <f t="shared" si="0"/>
        <v>17</v>
      </c>
      <c r="B29" s="117">
        <v>4950</v>
      </c>
      <c r="C29" s="118" t="s">
        <v>98</v>
      </c>
      <c r="D29" s="123">
        <f>-'C.2.2 B 09'!P28</f>
        <v>1366066.4424999999</v>
      </c>
      <c r="F29" s="116"/>
      <c r="G29" s="116"/>
      <c r="H29" s="129"/>
    </row>
    <row r="30" spans="1:8" ht="15.75" customHeight="1">
      <c r="A30" s="110">
        <f t="shared" si="0"/>
        <v>18</v>
      </c>
      <c r="B30" s="125"/>
      <c r="C30" s="111" t="s">
        <v>99</v>
      </c>
      <c r="D30" s="130">
        <f>SUM(D26:D29)</f>
        <v>18212824.292775173</v>
      </c>
    </row>
    <row r="31" spans="1:8" ht="15.75" customHeight="1">
      <c r="A31" s="110">
        <f t="shared" si="0"/>
        <v>19</v>
      </c>
      <c r="B31" s="125"/>
      <c r="D31" s="126"/>
      <c r="F31" s="131"/>
      <c r="G31" s="116"/>
    </row>
    <row r="32" spans="1:8" ht="15.75" customHeight="1">
      <c r="A32" s="110">
        <f t="shared" si="0"/>
        <v>20</v>
      </c>
      <c r="B32" s="110"/>
      <c r="C32" s="111" t="s">
        <v>100</v>
      </c>
      <c r="D32" s="119">
        <f>D23+D30</f>
        <v>159871899.65203637</v>
      </c>
      <c r="E32" s="132"/>
      <c r="F32" s="116"/>
      <c r="G32" s="116"/>
      <c r="H32" s="129"/>
    </row>
    <row r="33" spans="1:7" ht="15.75" customHeight="1">
      <c r="A33" s="110">
        <f t="shared" si="0"/>
        <v>21</v>
      </c>
      <c r="B33" s="125"/>
      <c r="D33" s="126"/>
      <c r="F33" s="116"/>
      <c r="G33" s="116"/>
    </row>
    <row r="34" spans="1:7" ht="15.75" customHeight="1">
      <c r="A34" s="110">
        <f t="shared" si="0"/>
        <v>22</v>
      </c>
      <c r="B34" s="125"/>
      <c r="C34" s="115" t="s">
        <v>101</v>
      </c>
      <c r="D34" s="126"/>
    </row>
    <row r="35" spans="1:7" ht="15.75" customHeight="1">
      <c r="A35" s="110">
        <f t="shared" si="0"/>
        <v>23</v>
      </c>
      <c r="B35" s="125"/>
      <c r="C35" s="133" t="s">
        <v>102</v>
      </c>
      <c r="D35" s="134"/>
    </row>
    <row r="36" spans="1:7" ht="15.75" customHeight="1">
      <c r="A36" s="110">
        <f t="shared" si="0"/>
        <v>24</v>
      </c>
      <c r="B36" s="135">
        <v>7560</v>
      </c>
      <c r="C36" s="118" t="s">
        <v>103</v>
      </c>
      <c r="D36" s="136">
        <f>'C.2.2 B 09'!P29</f>
        <v>97.508702239093509</v>
      </c>
    </row>
    <row r="37" spans="1:7" ht="15.75" customHeight="1">
      <c r="A37" s="110">
        <f t="shared" si="0"/>
        <v>25</v>
      </c>
      <c r="B37" s="135">
        <v>7590</v>
      </c>
      <c r="C37" s="118" t="s">
        <v>104</v>
      </c>
      <c r="D37" s="124">
        <f>'C.2.2 B 09'!P30</f>
        <v>0</v>
      </c>
    </row>
    <row r="38" spans="1:7" ht="15.75" customHeight="1">
      <c r="A38" s="110">
        <f t="shared" si="0"/>
        <v>26</v>
      </c>
      <c r="B38" s="125"/>
      <c r="C38" s="137" t="s">
        <v>105</v>
      </c>
      <c r="D38" s="119">
        <f>SUM(D36:D37)</f>
        <v>97.508702239093509</v>
      </c>
    </row>
    <row r="39" spans="1:7" ht="15.75" customHeight="1">
      <c r="A39" s="110">
        <f t="shared" si="0"/>
        <v>27</v>
      </c>
      <c r="B39" s="125"/>
      <c r="C39" s="137"/>
      <c r="D39" s="119"/>
    </row>
    <row r="40" spans="1:7" ht="15.75" customHeight="1">
      <c r="A40" s="110">
        <f t="shared" si="0"/>
        <v>28</v>
      </c>
      <c r="B40" s="125"/>
      <c r="C40" s="133" t="s">
        <v>106</v>
      </c>
      <c r="D40" s="123"/>
    </row>
    <row r="41" spans="1:7" ht="15.75" customHeight="1">
      <c r="A41" s="110">
        <f t="shared" si="0"/>
        <v>29</v>
      </c>
      <c r="B41" s="135">
        <v>7610</v>
      </c>
      <c r="C41" s="118" t="s">
        <v>107</v>
      </c>
      <c r="D41" s="138">
        <v>0</v>
      </c>
    </row>
    <row r="42" spans="1:7" ht="15.75" customHeight="1">
      <c r="A42" s="110">
        <f t="shared" si="0"/>
        <v>30</v>
      </c>
      <c r="B42" s="125"/>
      <c r="C42" s="104"/>
      <c r="D42" s="119">
        <f>SUM(D41)</f>
        <v>0</v>
      </c>
    </row>
    <row r="43" spans="1:7" ht="15.75" customHeight="1">
      <c r="A43" s="110">
        <f t="shared" si="0"/>
        <v>31</v>
      </c>
      <c r="B43" s="125"/>
      <c r="C43" s="133" t="s">
        <v>108</v>
      </c>
      <c r="D43" s="134"/>
    </row>
    <row r="44" spans="1:7" ht="15.75" customHeight="1">
      <c r="A44" s="110">
        <f t="shared" si="0"/>
        <v>32</v>
      </c>
      <c r="B44" s="135">
        <v>8140</v>
      </c>
      <c r="C44" s="118" t="s">
        <v>109</v>
      </c>
      <c r="D44" s="139">
        <f>'C.2.2 B 09'!P46</f>
        <v>-293.22558970371978</v>
      </c>
    </row>
    <row r="45" spans="1:7" ht="15.75" customHeight="1">
      <c r="A45" s="110">
        <f t="shared" si="0"/>
        <v>33</v>
      </c>
      <c r="B45" s="135">
        <v>8150</v>
      </c>
      <c r="C45" s="118" t="s">
        <v>110</v>
      </c>
      <c r="D45" s="136">
        <v>0</v>
      </c>
    </row>
    <row r="46" spans="1:7" ht="15.75" customHeight="1">
      <c r="A46" s="110">
        <f t="shared" si="0"/>
        <v>34</v>
      </c>
      <c r="B46" s="135">
        <v>8160</v>
      </c>
      <c r="C46" s="118" t="s">
        <v>111</v>
      </c>
      <c r="D46" s="136">
        <f>'C.2.2 B 09'!P47</f>
        <v>95658.498736967915</v>
      </c>
    </row>
    <row r="47" spans="1:7" ht="15.75" customHeight="1">
      <c r="A47" s="110">
        <f t="shared" si="0"/>
        <v>35</v>
      </c>
      <c r="B47" s="135">
        <v>8170</v>
      </c>
      <c r="C47" s="118" t="s">
        <v>112</v>
      </c>
      <c r="D47" s="136">
        <f>'C.2.2 B 09'!P48</f>
        <v>36987.207044918017</v>
      </c>
    </row>
    <row r="48" spans="1:7" ht="15.75" customHeight="1">
      <c r="A48" s="110">
        <f t="shared" si="0"/>
        <v>36</v>
      </c>
      <c r="B48" s="135">
        <v>8180</v>
      </c>
      <c r="C48" s="118" t="s">
        <v>113</v>
      </c>
      <c r="D48" s="136">
        <f>'C.2.2 B 09'!P49</f>
        <v>27287.909578191509</v>
      </c>
    </row>
    <row r="49" spans="1:4" ht="15.75" customHeight="1">
      <c r="A49" s="110">
        <f t="shared" si="0"/>
        <v>37</v>
      </c>
      <c r="B49" s="140">
        <v>8190</v>
      </c>
      <c r="C49" s="141" t="s">
        <v>114</v>
      </c>
      <c r="D49" s="136">
        <f>'C.2.2 B 09'!P50</f>
        <v>766.79321818353617</v>
      </c>
    </row>
    <row r="50" spans="1:4" ht="15.75" customHeight="1">
      <c r="A50" s="110">
        <f t="shared" si="0"/>
        <v>38</v>
      </c>
      <c r="B50" s="140">
        <v>8200</v>
      </c>
      <c r="C50" s="141" t="s">
        <v>115</v>
      </c>
      <c r="D50" s="136">
        <f>'C.2.2 B 09'!P51</f>
        <v>2891.6737903019375</v>
      </c>
    </row>
    <row r="51" spans="1:4" ht="15.75" customHeight="1">
      <c r="A51" s="110">
        <f t="shared" si="0"/>
        <v>39</v>
      </c>
      <c r="B51" s="140">
        <v>8210</v>
      </c>
      <c r="C51" s="141" t="s">
        <v>116</v>
      </c>
      <c r="D51" s="136">
        <f>'C.2.2 B 09'!P52</f>
        <v>49076.54180949743</v>
      </c>
    </row>
    <row r="52" spans="1:4" ht="15.75" customHeight="1">
      <c r="A52" s="110">
        <f t="shared" si="0"/>
        <v>40</v>
      </c>
      <c r="B52" s="140">
        <v>8240</v>
      </c>
      <c r="C52" s="141" t="s">
        <v>117</v>
      </c>
      <c r="D52" s="136">
        <f>'C.2.2 B 09'!P53</f>
        <v>1397.6331672799963</v>
      </c>
    </row>
    <row r="53" spans="1:4" ht="15.75" customHeight="1">
      <c r="A53" s="110">
        <f t="shared" si="0"/>
        <v>41</v>
      </c>
      <c r="B53" s="140">
        <v>8250</v>
      </c>
      <c r="C53" s="141" t="s">
        <v>118</v>
      </c>
      <c r="D53" s="124">
        <f>'C.2.2 B 09'!P54</f>
        <v>8589.4005238101036</v>
      </c>
    </row>
    <row r="54" spans="1:4" ht="15.75" customHeight="1">
      <c r="A54" s="110">
        <f t="shared" si="0"/>
        <v>42</v>
      </c>
      <c r="B54" s="125"/>
      <c r="C54" s="137" t="s">
        <v>119</v>
      </c>
      <c r="D54" s="119">
        <f>SUM(D44:D53)</f>
        <v>222362.43227944669</v>
      </c>
    </row>
    <row r="55" spans="1:4" ht="15.75" customHeight="1">
      <c r="A55" s="110">
        <f t="shared" si="0"/>
        <v>43</v>
      </c>
      <c r="B55" s="125"/>
      <c r="C55" s="104"/>
      <c r="D55" s="123"/>
    </row>
    <row r="56" spans="1:4" ht="15.75" customHeight="1">
      <c r="A56" s="110">
        <f t="shared" si="0"/>
        <v>44</v>
      </c>
      <c r="B56" s="125"/>
      <c r="C56" s="133" t="s">
        <v>120</v>
      </c>
      <c r="D56" s="123"/>
    </row>
    <row r="57" spans="1:4" ht="15.75" customHeight="1">
      <c r="A57" s="110">
        <f t="shared" si="0"/>
        <v>45</v>
      </c>
      <c r="B57" s="140">
        <v>8310</v>
      </c>
      <c r="C57" s="141" t="s">
        <v>121</v>
      </c>
      <c r="D57" s="139">
        <f>'C.2.2 B 09'!P55</f>
        <v>4134.987636044435</v>
      </c>
    </row>
    <row r="58" spans="1:4" ht="15.75" customHeight="1">
      <c r="A58" s="110">
        <f t="shared" si="0"/>
        <v>46</v>
      </c>
      <c r="B58" s="140">
        <v>8320</v>
      </c>
      <c r="C58" s="141" t="s">
        <v>122</v>
      </c>
      <c r="D58" s="136">
        <v>0</v>
      </c>
    </row>
    <row r="59" spans="1:4" ht="15.75" customHeight="1">
      <c r="A59" s="110">
        <f t="shared" si="0"/>
        <v>47</v>
      </c>
      <c r="B59" s="140">
        <v>8340</v>
      </c>
      <c r="C59" s="141" t="s">
        <v>123</v>
      </c>
      <c r="D59" s="136">
        <f>'C.2.2 B 09'!P56</f>
        <v>3306.5601619777976</v>
      </c>
    </row>
    <row r="60" spans="1:4" ht="15.75" customHeight="1">
      <c r="A60" s="110">
        <f t="shared" si="0"/>
        <v>48</v>
      </c>
      <c r="B60" s="140">
        <v>8350</v>
      </c>
      <c r="C60" s="141" t="s">
        <v>124</v>
      </c>
      <c r="D60" s="136">
        <f>'C.2.2 B 09'!P57</f>
        <v>2428.3798467142192</v>
      </c>
    </row>
    <row r="61" spans="1:4" ht="15.75" customHeight="1">
      <c r="A61" s="110">
        <f t="shared" si="0"/>
        <v>49</v>
      </c>
      <c r="B61" s="140">
        <v>8360</v>
      </c>
      <c r="C61" s="141" t="s">
        <v>125</v>
      </c>
      <c r="D61" s="136">
        <f>'C.2.2 B 09'!P58</f>
        <v>247.95867076704832</v>
      </c>
    </row>
    <row r="62" spans="1:4" ht="15.75" customHeight="1">
      <c r="A62" s="110">
        <f t="shared" si="0"/>
        <v>50</v>
      </c>
      <c r="B62" s="140">
        <v>8370</v>
      </c>
      <c r="C62" s="141" t="s">
        <v>126</v>
      </c>
      <c r="D62" s="136">
        <f>'C.2.2 B 09'!P59</f>
        <v>0</v>
      </c>
    </row>
    <row r="63" spans="1:4" ht="15.75" customHeight="1">
      <c r="A63" s="110">
        <f t="shared" si="0"/>
        <v>51</v>
      </c>
      <c r="B63" s="142" t="s">
        <v>127</v>
      </c>
      <c r="C63" s="141" t="s">
        <v>128</v>
      </c>
      <c r="D63" s="136">
        <f>'C.2.2 B 09'!P60</f>
        <v>129928.23603452992</v>
      </c>
    </row>
    <row r="64" spans="1:4" ht="15.75" customHeight="1">
      <c r="A64" s="110">
        <f t="shared" si="0"/>
        <v>52</v>
      </c>
      <c r="B64" s="125"/>
      <c r="C64" s="137" t="s">
        <v>129</v>
      </c>
      <c r="D64" s="130">
        <f>SUM(D57:D63)</f>
        <v>140046.12235003343</v>
      </c>
    </row>
    <row r="65" spans="1:7" ht="15.75" customHeight="1">
      <c r="A65" s="110">
        <f t="shared" si="0"/>
        <v>53</v>
      </c>
      <c r="B65" s="125"/>
      <c r="C65" s="104"/>
      <c r="D65" s="123"/>
    </row>
    <row r="66" spans="1:7" ht="15.75" customHeight="1">
      <c r="A66" s="110">
        <f t="shared" si="0"/>
        <v>54</v>
      </c>
      <c r="B66" s="125"/>
      <c r="C66" s="133" t="s">
        <v>130</v>
      </c>
      <c r="D66" s="123"/>
    </row>
    <row r="67" spans="1:7" ht="15.75" customHeight="1">
      <c r="A67" s="110">
        <f t="shared" si="0"/>
        <v>55</v>
      </c>
      <c r="B67" s="140">
        <v>8500</v>
      </c>
      <c r="C67" s="141" t="s">
        <v>109</v>
      </c>
      <c r="D67" s="139">
        <v>0</v>
      </c>
    </row>
    <row r="68" spans="1:7" ht="15.75" customHeight="1">
      <c r="A68" s="110">
        <f t="shared" si="0"/>
        <v>56</v>
      </c>
      <c r="B68" s="140">
        <v>8520</v>
      </c>
      <c r="C68" s="141" t="s">
        <v>131</v>
      </c>
      <c r="D68" s="136">
        <f>'C.2.2 B 09'!P61</f>
        <v>0</v>
      </c>
      <c r="G68" s="143"/>
    </row>
    <row r="69" spans="1:7" ht="15.75" customHeight="1">
      <c r="A69" s="110">
        <f t="shared" si="0"/>
        <v>57</v>
      </c>
      <c r="B69" s="140">
        <v>8550</v>
      </c>
      <c r="C69" s="141" t="s">
        <v>132</v>
      </c>
      <c r="D69" s="136">
        <f>'C.2.2 B 09'!P62</f>
        <v>55.301854638960194</v>
      </c>
      <c r="G69" s="143"/>
    </row>
    <row r="70" spans="1:7" ht="15.75" customHeight="1">
      <c r="A70" s="110">
        <f t="shared" si="0"/>
        <v>58</v>
      </c>
      <c r="B70" s="140">
        <v>8560</v>
      </c>
      <c r="C70" s="141" t="s">
        <v>133</v>
      </c>
      <c r="D70" s="136">
        <f>'C.2.2 B 09'!P63</f>
        <v>316656.97825095349</v>
      </c>
    </row>
    <row r="71" spans="1:7" ht="15.75" customHeight="1">
      <c r="A71" s="110">
        <f t="shared" si="0"/>
        <v>59</v>
      </c>
      <c r="B71" s="140">
        <v>8570</v>
      </c>
      <c r="C71" s="141" t="s">
        <v>134</v>
      </c>
      <c r="D71" s="136">
        <f>'C.2.2 B 09'!P64</f>
        <v>34521.182853303595</v>
      </c>
    </row>
    <row r="72" spans="1:7" ht="15.75" customHeight="1">
      <c r="A72" s="110">
        <f t="shared" si="0"/>
        <v>60</v>
      </c>
      <c r="B72" s="140">
        <v>8590</v>
      </c>
      <c r="C72" s="141" t="s">
        <v>135</v>
      </c>
      <c r="D72" s="136">
        <v>0</v>
      </c>
    </row>
    <row r="73" spans="1:7" ht="15.75" customHeight="1">
      <c r="A73" s="110">
        <f t="shared" si="0"/>
        <v>61</v>
      </c>
      <c r="B73" s="140">
        <v>8600</v>
      </c>
      <c r="C73" s="141" t="s">
        <v>136</v>
      </c>
      <c r="D73" s="124">
        <v>0</v>
      </c>
    </row>
    <row r="74" spans="1:7" ht="15.75" customHeight="1">
      <c r="A74" s="110">
        <f t="shared" si="0"/>
        <v>62</v>
      </c>
      <c r="B74" s="125"/>
      <c r="C74" s="137" t="s">
        <v>137</v>
      </c>
      <c r="D74" s="119">
        <f>SUM(D67:D73)</f>
        <v>351233.46295889607</v>
      </c>
    </row>
    <row r="75" spans="1:7" ht="15.75" customHeight="1">
      <c r="A75" s="110">
        <f t="shared" si="0"/>
        <v>63</v>
      </c>
      <c r="B75" s="125"/>
      <c r="C75" s="104"/>
      <c r="D75" s="123"/>
    </row>
    <row r="76" spans="1:7" ht="15.75" customHeight="1">
      <c r="A76" s="110">
        <f t="shared" si="0"/>
        <v>64</v>
      </c>
      <c r="B76" s="125"/>
      <c r="C76" s="133" t="s">
        <v>138</v>
      </c>
      <c r="D76" s="123"/>
    </row>
    <row r="77" spans="1:7" ht="15.75" customHeight="1">
      <c r="A77" s="110">
        <f t="shared" si="0"/>
        <v>65</v>
      </c>
      <c r="B77" s="140">
        <v>8620</v>
      </c>
      <c r="C77" s="141" t="s">
        <v>139</v>
      </c>
      <c r="D77" s="139">
        <v>0</v>
      </c>
    </row>
    <row r="78" spans="1:7" ht="15.75" customHeight="1">
      <c r="A78" s="110">
        <f t="shared" si="0"/>
        <v>66</v>
      </c>
      <c r="B78" s="140">
        <v>8630</v>
      </c>
      <c r="C78" s="141" t="s">
        <v>140</v>
      </c>
      <c r="D78" s="136">
        <f>'C.2.2 B 09'!P65</f>
        <v>5912.3313289077478</v>
      </c>
    </row>
    <row r="79" spans="1:7" ht="15.75" customHeight="1">
      <c r="A79" s="110">
        <f t="shared" ref="A79:A142" si="1">A78+1</f>
        <v>67</v>
      </c>
      <c r="B79" s="140">
        <v>8640</v>
      </c>
      <c r="C79" s="141" t="s">
        <v>141</v>
      </c>
      <c r="D79" s="136">
        <f>'C.2.2 B 09'!P66</f>
        <v>0</v>
      </c>
    </row>
    <row r="80" spans="1:7" ht="15.75" customHeight="1">
      <c r="A80" s="110">
        <f t="shared" si="1"/>
        <v>68</v>
      </c>
      <c r="B80" s="140">
        <v>8650</v>
      </c>
      <c r="C80" s="141" t="s">
        <v>142</v>
      </c>
      <c r="D80" s="136">
        <f>'C.2.2 B 09'!P67</f>
        <v>5807.7109373173216</v>
      </c>
    </row>
    <row r="81" spans="1:5" ht="15.75" customHeight="1">
      <c r="A81" s="110">
        <f t="shared" si="1"/>
        <v>69</v>
      </c>
      <c r="B81" s="140">
        <v>8670</v>
      </c>
      <c r="C81" s="141" t="s">
        <v>143</v>
      </c>
      <c r="D81" s="124">
        <v>0</v>
      </c>
    </row>
    <row r="82" spans="1:5" ht="15.75" customHeight="1">
      <c r="A82" s="110">
        <f t="shared" si="1"/>
        <v>70</v>
      </c>
      <c r="B82" s="125"/>
      <c r="C82" s="137" t="s">
        <v>144</v>
      </c>
      <c r="D82" s="119">
        <f>SUM(D77:D81)</f>
        <v>11720.042266225069</v>
      </c>
    </row>
    <row r="83" spans="1:5" ht="15.75" customHeight="1">
      <c r="A83" s="110">
        <f t="shared" si="1"/>
        <v>71</v>
      </c>
      <c r="B83" s="125"/>
      <c r="C83" s="104"/>
      <c r="D83" s="123"/>
    </row>
    <row r="84" spans="1:5" ht="15.75" customHeight="1">
      <c r="A84" s="110">
        <f t="shared" si="1"/>
        <v>72</v>
      </c>
      <c r="B84" s="125"/>
      <c r="C84" s="133" t="s">
        <v>145</v>
      </c>
      <c r="D84" s="126"/>
    </row>
    <row r="85" spans="1:5" ht="15.75" customHeight="1">
      <c r="A85" s="110">
        <f t="shared" si="1"/>
        <v>73</v>
      </c>
      <c r="B85" s="117">
        <v>8001</v>
      </c>
      <c r="C85" s="118" t="s">
        <v>146</v>
      </c>
      <c r="D85" s="139">
        <f>'C.2.2 B 09'!P31</f>
        <v>1207337.5727112212</v>
      </c>
      <c r="E85" s="144"/>
    </row>
    <row r="86" spans="1:5" ht="15.75" customHeight="1">
      <c r="A86" s="110">
        <f t="shared" si="1"/>
        <v>74</v>
      </c>
      <c r="B86" s="117">
        <v>8010</v>
      </c>
      <c r="C86" s="145" t="s">
        <v>147</v>
      </c>
      <c r="D86" s="136">
        <f>'C.2.2 B 09'!P32</f>
        <v>73124.253536187593</v>
      </c>
      <c r="E86" s="144"/>
    </row>
    <row r="87" spans="1:5" ht="15.75" customHeight="1">
      <c r="A87" s="110">
        <f t="shared" si="1"/>
        <v>75</v>
      </c>
      <c r="B87" s="117">
        <v>8040</v>
      </c>
      <c r="C87" s="111" t="s">
        <v>148</v>
      </c>
      <c r="D87" s="136">
        <f>'C.2.2 B 09'!P33</f>
        <v>48444810.552938133</v>
      </c>
      <c r="E87" s="144"/>
    </row>
    <row r="88" spans="1:5" ht="15.75" customHeight="1">
      <c r="A88" s="110">
        <f t="shared" si="1"/>
        <v>76</v>
      </c>
      <c r="B88" s="117">
        <v>8045</v>
      </c>
      <c r="C88" s="111" t="s">
        <v>149</v>
      </c>
      <c r="D88" s="136">
        <v>0</v>
      </c>
      <c r="E88" s="144"/>
    </row>
    <row r="89" spans="1:5" ht="15.75" customHeight="1">
      <c r="A89" s="110">
        <f t="shared" si="1"/>
        <v>77</v>
      </c>
      <c r="B89" s="117">
        <v>8050</v>
      </c>
      <c r="C89" s="118" t="s">
        <v>150</v>
      </c>
      <c r="D89" s="136">
        <f>'C.2.2 B 09'!P34</f>
        <v>25371.019352147079</v>
      </c>
      <c r="E89" s="144"/>
    </row>
    <row r="90" spans="1:5" ht="15.75" customHeight="1">
      <c r="A90" s="110">
        <f t="shared" si="1"/>
        <v>78</v>
      </c>
      <c r="B90" s="117">
        <v>8051</v>
      </c>
      <c r="C90" s="111" t="s">
        <v>151</v>
      </c>
      <c r="D90" s="136">
        <f>'C.2.2 B 09'!P35</f>
        <v>48107712.135673694</v>
      </c>
      <c r="E90" s="144"/>
    </row>
    <row r="91" spans="1:5" ht="15.75" customHeight="1">
      <c r="A91" s="110">
        <f t="shared" si="1"/>
        <v>79</v>
      </c>
      <c r="B91" s="117">
        <v>8052</v>
      </c>
      <c r="C91" s="111" t="s">
        <v>152</v>
      </c>
      <c r="D91" s="136">
        <f>'C.2.2 B 09'!P36</f>
        <v>23500811.830648404</v>
      </c>
      <c r="E91" s="144"/>
    </row>
    <row r="92" spans="1:5" ht="15.75" customHeight="1">
      <c r="A92" s="110">
        <f t="shared" si="1"/>
        <v>80</v>
      </c>
      <c r="B92" s="117">
        <v>8053</v>
      </c>
      <c r="C92" s="111" t="s">
        <v>153</v>
      </c>
      <c r="D92" s="136">
        <f>'C.2.2 B 09'!P37</f>
        <v>4376451.0302729206</v>
      </c>
      <c r="E92" s="144"/>
    </row>
    <row r="93" spans="1:5" ht="15.75" customHeight="1">
      <c r="A93" s="110">
        <f t="shared" si="1"/>
        <v>81</v>
      </c>
      <c r="B93" s="117">
        <v>8054</v>
      </c>
      <c r="C93" s="111" t="s">
        <v>154</v>
      </c>
      <c r="D93" s="136">
        <f>'C.2.2 B 09'!P38</f>
        <v>5036796.9057672285</v>
      </c>
      <c r="E93" s="144"/>
    </row>
    <row r="94" spans="1:5" ht="15.75" customHeight="1">
      <c r="A94" s="110">
        <f t="shared" si="1"/>
        <v>82</v>
      </c>
      <c r="B94" s="117">
        <v>8057</v>
      </c>
      <c r="C94" s="111" t="s">
        <v>155</v>
      </c>
      <c r="D94" s="136">
        <v>0</v>
      </c>
      <c r="E94" s="144"/>
    </row>
    <row r="95" spans="1:5" ht="15.75" customHeight="1">
      <c r="A95" s="110">
        <f t="shared" si="1"/>
        <v>83</v>
      </c>
      <c r="B95" s="117">
        <v>8058</v>
      </c>
      <c r="C95" s="111" t="s">
        <v>156</v>
      </c>
      <c r="D95" s="136">
        <f>'C.2.2 B 09'!P39</f>
        <v>-3978837.4889111212</v>
      </c>
      <c r="E95" s="144"/>
    </row>
    <row r="96" spans="1:5" ht="15.75" customHeight="1">
      <c r="A96" s="110">
        <f t="shared" si="1"/>
        <v>84</v>
      </c>
      <c r="B96" s="117">
        <v>8059</v>
      </c>
      <c r="C96" s="111" t="s">
        <v>157</v>
      </c>
      <c r="D96" s="136">
        <f>'C.2.2 B 09'!P40</f>
        <v>-73591574.776836872</v>
      </c>
      <c r="E96" s="144"/>
    </row>
    <row r="97" spans="1:6" ht="15.75" customHeight="1">
      <c r="A97" s="110">
        <f t="shared" si="1"/>
        <v>85</v>
      </c>
      <c r="B97" s="117">
        <v>8060</v>
      </c>
      <c r="C97" s="111" t="s">
        <v>158</v>
      </c>
      <c r="D97" s="136">
        <f>'C.2.2 B 09'!P41</f>
        <v>-631677.70387688209</v>
      </c>
      <c r="E97" s="144"/>
    </row>
    <row r="98" spans="1:6" ht="15.75" customHeight="1">
      <c r="A98" s="110">
        <f t="shared" si="1"/>
        <v>86</v>
      </c>
      <c r="B98" s="117">
        <v>8081</v>
      </c>
      <c r="C98" s="111" t="s">
        <v>159</v>
      </c>
      <c r="D98" s="136">
        <f>'C.2.2 B 09'!P42</f>
        <v>19570719.344022617</v>
      </c>
      <c r="E98" s="144"/>
    </row>
    <row r="99" spans="1:6" ht="15.75" customHeight="1">
      <c r="A99" s="110">
        <f t="shared" si="1"/>
        <v>87</v>
      </c>
      <c r="B99" s="117">
        <v>8082</v>
      </c>
      <c r="C99" s="111" t="s">
        <v>160</v>
      </c>
      <c r="D99" s="136">
        <f>'C.2.2 B 09'!P43</f>
        <v>-14127369.62939862</v>
      </c>
      <c r="E99" s="144"/>
    </row>
    <row r="100" spans="1:6" ht="15.75" customHeight="1">
      <c r="A100" s="110">
        <f t="shared" si="1"/>
        <v>88</v>
      </c>
      <c r="B100" s="117">
        <v>8110</v>
      </c>
      <c r="C100" s="111" t="s">
        <v>161</v>
      </c>
      <c r="D100" s="136">
        <v>0</v>
      </c>
      <c r="E100" s="144"/>
    </row>
    <row r="101" spans="1:6" ht="15.75" customHeight="1">
      <c r="A101" s="110">
        <f t="shared" si="1"/>
        <v>89</v>
      </c>
      <c r="B101" s="117">
        <v>8120</v>
      </c>
      <c r="C101" s="111" t="s">
        <v>162</v>
      </c>
      <c r="D101" s="136">
        <f>'C.2.2 B 09'!P44</f>
        <v>-9913.5440659948435</v>
      </c>
      <c r="E101" s="144"/>
    </row>
    <row r="102" spans="1:6" ht="15.75" customHeight="1">
      <c r="A102" s="110">
        <f t="shared" si="1"/>
        <v>90</v>
      </c>
      <c r="B102" s="117">
        <v>8130</v>
      </c>
      <c r="C102" s="111" t="s">
        <v>162</v>
      </c>
      <c r="D102" s="136">
        <v>0</v>
      </c>
      <c r="E102" s="144"/>
    </row>
    <row r="103" spans="1:6" ht="15.75" customHeight="1">
      <c r="A103" s="110">
        <f t="shared" si="1"/>
        <v>91</v>
      </c>
      <c r="B103" s="117">
        <v>8580</v>
      </c>
      <c r="C103" s="111" t="s">
        <v>163</v>
      </c>
      <c r="D103" s="124">
        <f>'C.2.2 B 09'!P45</f>
        <v>19029259.36755209</v>
      </c>
      <c r="E103" s="144"/>
      <c r="F103" s="79"/>
    </row>
    <row r="104" spans="1:6" ht="15.75" customHeight="1">
      <c r="A104" s="110">
        <f t="shared" si="1"/>
        <v>92</v>
      </c>
      <c r="B104" s="125"/>
      <c r="C104" s="146" t="s">
        <v>164</v>
      </c>
      <c r="D104" s="119">
        <f>SUM(D85:D103)</f>
        <v>77033020.869385153</v>
      </c>
      <c r="F104" s="147"/>
    </row>
    <row r="105" spans="1:6" ht="15.75" customHeight="1">
      <c r="A105" s="110">
        <f t="shared" si="1"/>
        <v>93</v>
      </c>
      <c r="B105" s="125"/>
      <c r="D105" s="134"/>
    </row>
    <row r="106" spans="1:6" ht="15.75" customHeight="1">
      <c r="A106" s="110">
        <f t="shared" si="1"/>
        <v>94</v>
      </c>
      <c r="B106" s="125"/>
      <c r="C106" s="133" t="s">
        <v>165</v>
      </c>
      <c r="D106" s="134"/>
    </row>
    <row r="107" spans="1:6" ht="15.75" customHeight="1">
      <c r="A107" s="110">
        <f t="shared" si="1"/>
        <v>95</v>
      </c>
      <c r="B107" s="117">
        <v>8700</v>
      </c>
      <c r="C107" s="118" t="s">
        <v>166</v>
      </c>
      <c r="D107" s="139">
        <f>'C.2.2 B 09'!P68</f>
        <v>1183789.4569059813</v>
      </c>
    </row>
    <row r="108" spans="1:6" ht="15.75" customHeight="1">
      <c r="A108" s="110">
        <f t="shared" si="1"/>
        <v>96</v>
      </c>
      <c r="B108" s="117">
        <v>8710</v>
      </c>
      <c r="C108" s="118" t="s">
        <v>167</v>
      </c>
      <c r="D108" s="136">
        <f>'C.2.2 B 09'!P69</f>
        <v>1954.0543321693435</v>
      </c>
    </row>
    <row r="109" spans="1:6" ht="15.75" customHeight="1">
      <c r="A109" s="110">
        <f t="shared" si="1"/>
        <v>97</v>
      </c>
      <c r="B109" s="117">
        <v>8711</v>
      </c>
      <c r="C109" s="111" t="s">
        <v>168</v>
      </c>
      <c r="D109" s="136">
        <f>'C.2.2 B 09'!P70</f>
        <v>10649.634147097708</v>
      </c>
    </row>
    <row r="110" spans="1:6" ht="15.75" customHeight="1">
      <c r="A110" s="110">
        <f t="shared" si="1"/>
        <v>98</v>
      </c>
      <c r="B110" s="117">
        <v>8720</v>
      </c>
      <c r="C110" s="118" t="s">
        <v>169</v>
      </c>
      <c r="D110" s="136">
        <f>'C.2.2 B 09'!P71</f>
        <v>0</v>
      </c>
    </row>
    <row r="111" spans="1:6" ht="15.75" customHeight="1">
      <c r="A111" s="110">
        <f t="shared" si="1"/>
        <v>99</v>
      </c>
      <c r="B111" s="117">
        <v>8740</v>
      </c>
      <c r="C111" s="118" t="s">
        <v>170</v>
      </c>
      <c r="D111" s="136">
        <f>'C.2.2 B 09'!P72</f>
        <v>3723991.9424460223</v>
      </c>
    </row>
    <row r="112" spans="1:6" ht="15.75" customHeight="1">
      <c r="A112" s="110">
        <f t="shared" si="1"/>
        <v>100</v>
      </c>
      <c r="B112" s="117">
        <v>8750</v>
      </c>
      <c r="C112" s="118" t="s">
        <v>171</v>
      </c>
      <c r="D112" s="136">
        <f>'C.2.2 B 09'!P73</f>
        <v>398999.7802270184</v>
      </c>
    </row>
    <row r="113" spans="1:4" ht="15.75" customHeight="1">
      <c r="A113" s="110">
        <f t="shared" si="1"/>
        <v>101</v>
      </c>
      <c r="B113" s="117">
        <v>8760</v>
      </c>
      <c r="C113" s="118" t="s">
        <v>172</v>
      </c>
      <c r="D113" s="136">
        <f>'C.2.2 B 09'!P74</f>
        <v>33534.792112589414</v>
      </c>
    </row>
    <row r="114" spans="1:4" ht="15.75" customHeight="1">
      <c r="A114" s="110">
        <f t="shared" si="1"/>
        <v>102</v>
      </c>
      <c r="B114" s="117">
        <v>8770</v>
      </c>
      <c r="C114" s="118" t="s">
        <v>173</v>
      </c>
      <c r="D114" s="136">
        <f>'C.2.2 B 09'!P75</f>
        <v>124129.98170099156</v>
      </c>
    </row>
    <row r="115" spans="1:4" ht="15.75" customHeight="1">
      <c r="A115" s="110">
        <f t="shared" si="1"/>
        <v>103</v>
      </c>
      <c r="B115" s="117">
        <v>8780</v>
      </c>
      <c r="C115" s="118" t="s">
        <v>174</v>
      </c>
      <c r="D115" s="136">
        <f>'C.2.2 B 09'!P76</f>
        <v>890856.00637317088</v>
      </c>
    </row>
    <row r="116" spans="1:4" ht="15.75" customHeight="1">
      <c r="A116" s="110">
        <f t="shared" si="1"/>
        <v>104</v>
      </c>
      <c r="B116" s="117">
        <v>8790</v>
      </c>
      <c r="C116" s="118" t="s">
        <v>175</v>
      </c>
      <c r="D116" s="136">
        <f>'C.2.2 B 09'!P77</f>
        <v>752.17633517265062</v>
      </c>
    </row>
    <row r="117" spans="1:4" ht="15.75" customHeight="1">
      <c r="A117" s="110">
        <f t="shared" si="1"/>
        <v>105</v>
      </c>
      <c r="B117" s="117">
        <v>8800</v>
      </c>
      <c r="C117" s="118" t="s">
        <v>176</v>
      </c>
      <c r="D117" s="136">
        <f>'C.2.2 B 09'!P78</f>
        <v>208474.55496439827</v>
      </c>
    </row>
    <row r="118" spans="1:4" ht="15.75" customHeight="1">
      <c r="A118" s="110">
        <f t="shared" si="1"/>
        <v>106</v>
      </c>
      <c r="B118" s="117">
        <v>8810</v>
      </c>
      <c r="C118" s="118" t="s">
        <v>136</v>
      </c>
      <c r="D118" s="124">
        <f>'C.2.2 B 09'!P79</f>
        <v>445054.48448687675</v>
      </c>
    </row>
    <row r="119" spans="1:4" ht="15.75" customHeight="1">
      <c r="A119" s="110">
        <f t="shared" si="1"/>
        <v>107</v>
      </c>
      <c r="B119" s="125"/>
      <c r="C119" s="137" t="s">
        <v>177</v>
      </c>
      <c r="D119" s="119">
        <f>SUM(D107:D118)</f>
        <v>7022186.864031489</v>
      </c>
    </row>
    <row r="120" spans="1:4" ht="15.75" customHeight="1">
      <c r="A120" s="110">
        <f t="shared" si="1"/>
        <v>108</v>
      </c>
      <c r="B120" s="125"/>
      <c r="C120" s="104"/>
      <c r="D120" s="123"/>
    </row>
    <row r="121" spans="1:4" ht="15.75" customHeight="1">
      <c r="A121" s="110">
        <f t="shared" si="1"/>
        <v>109</v>
      </c>
      <c r="B121" s="110"/>
      <c r="C121" s="133" t="s">
        <v>178</v>
      </c>
      <c r="D121" s="126"/>
    </row>
    <row r="122" spans="1:4" ht="15.75" customHeight="1">
      <c r="A122" s="110">
        <f t="shared" si="1"/>
        <v>110</v>
      </c>
      <c r="B122" s="117">
        <v>8850</v>
      </c>
      <c r="C122" s="118" t="s">
        <v>166</v>
      </c>
      <c r="D122" s="139">
        <f>'C.2.2 B 09'!P80</f>
        <v>1964.0799531830269</v>
      </c>
    </row>
    <row r="123" spans="1:4" ht="15.75" customHeight="1">
      <c r="A123" s="110">
        <f t="shared" si="1"/>
        <v>111</v>
      </c>
      <c r="B123" s="117">
        <v>8860</v>
      </c>
      <c r="C123" s="118" t="s">
        <v>139</v>
      </c>
      <c r="D123" s="136">
        <f>'C.2.2 B 09'!P81</f>
        <v>23371.440168923371</v>
      </c>
    </row>
    <row r="124" spans="1:4" ht="15.75" customHeight="1">
      <c r="A124" s="110">
        <f t="shared" si="1"/>
        <v>112</v>
      </c>
      <c r="B124" s="117">
        <v>8870</v>
      </c>
      <c r="C124" s="118" t="s">
        <v>140</v>
      </c>
      <c r="D124" s="136">
        <f>'C.2.2 B 09'!P82</f>
        <v>46025.738609885331</v>
      </c>
    </row>
    <row r="125" spans="1:4" ht="15.75" customHeight="1">
      <c r="A125" s="110">
        <f t="shared" si="1"/>
        <v>113</v>
      </c>
      <c r="B125" s="117">
        <v>8890</v>
      </c>
      <c r="C125" s="118" t="s">
        <v>171</v>
      </c>
      <c r="D125" s="136">
        <f>'C.2.2 B 09'!P83</f>
        <v>6698.4222182973017</v>
      </c>
    </row>
    <row r="126" spans="1:4" ht="15.75" customHeight="1">
      <c r="A126" s="110">
        <f t="shared" si="1"/>
        <v>114</v>
      </c>
      <c r="B126" s="117">
        <v>8900</v>
      </c>
      <c r="C126" s="118" t="s">
        <v>172</v>
      </c>
      <c r="D126" s="136">
        <f>'C.2.2 B 09'!P84</f>
        <v>10625.971851677408</v>
      </c>
    </row>
    <row r="127" spans="1:4" ht="15.75" customHeight="1">
      <c r="A127" s="110">
        <f t="shared" si="1"/>
        <v>115</v>
      </c>
      <c r="B127" s="117">
        <v>8910</v>
      </c>
      <c r="C127" s="118" t="s">
        <v>173</v>
      </c>
      <c r="D127" s="136">
        <f>'C.2.2 B 09'!P85</f>
        <v>25851.91570686315</v>
      </c>
    </row>
    <row r="128" spans="1:4" ht="15.75" customHeight="1">
      <c r="A128" s="110">
        <f t="shared" si="1"/>
        <v>116</v>
      </c>
      <c r="B128" s="117">
        <v>8920</v>
      </c>
      <c r="C128" s="118" t="s">
        <v>179</v>
      </c>
      <c r="D128" s="136">
        <f>'C.2.2 B 09'!P86</f>
        <v>3575.2200263111527</v>
      </c>
    </row>
    <row r="129" spans="1:5" ht="15.75" customHeight="1">
      <c r="A129" s="110">
        <f t="shared" si="1"/>
        <v>117</v>
      </c>
      <c r="B129" s="117">
        <v>8930</v>
      </c>
      <c r="C129" s="118" t="s">
        <v>180</v>
      </c>
      <c r="D129" s="136">
        <f>'C.2.2 B 09'!P87</f>
        <v>105360.86137928165</v>
      </c>
    </row>
    <row r="130" spans="1:5" ht="15.75" customHeight="1">
      <c r="A130" s="110">
        <f t="shared" si="1"/>
        <v>118</v>
      </c>
      <c r="B130" s="117">
        <v>8940</v>
      </c>
      <c r="C130" s="118" t="s">
        <v>143</v>
      </c>
      <c r="D130" s="136">
        <f>'C.2.2 B 09'!P88</f>
        <v>72160.107789682326</v>
      </c>
    </row>
    <row r="131" spans="1:5" ht="15.75" customHeight="1">
      <c r="A131" s="110">
        <f t="shared" si="1"/>
        <v>119</v>
      </c>
      <c r="B131" s="117">
        <v>8950</v>
      </c>
      <c r="C131" s="118" t="s">
        <v>181</v>
      </c>
      <c r="D131" s="124">
        <v>0</v>
      </c>
    </row>
    <row r="132" spans="1:5" ht="15.75" customHeight="1">
      <c r="A132" s="110">
        <f t="shared" si="1"/>
        <v>120</v>
      </c>
      <c r="B132" s="125"/>
      <c r="C132" s="137" t="s">
        <v>182</v>
      </c>
      <c r="D132" s="119">
        <f>SUM(D122:D131)</f>
        <v>295633.7577041047</v>
      </c>
    </row>
    <row r="133" spans="1:5" ht="15.75" customHeight="1">
      <c r="A133" s="110">
        <f t="shared" si="1"/>
        <v>121</v>
      </c>
      <c r="B133" s="125"/>
      <c r="C133" s="137"/>
      <c r="D133" s="123"/>
    </row>
    <row r="134" spans="1:5" ht="15.75" customHeight="1">
      <c r="A134" s="110">
        <f t="shared" si="1"/>
        <v>122</v>
      </c>
      <c r="B134" s="110"/>
      <c r="C134" s="133" t="s">
        <v>183</v>
      </c>
      <c r="D134" s="126"/>
    </row>
    <row r="135" spans="1:5" ht="15.75" customHeight="1">
      <c r="A135" s="110">
        <f t="shared" si="1"/>
        <v>123</v>
      </c>
      <c r="B135" s="117">
        <v>9010</v>
      </c>
      <c r="C135" s="118" t="s">
        <v>184</v>
      </c>
      <c r="D135" s="139">
        <v>0</v>
      </c>
    </row>
    <row r="136" spans="1:5" ht="15.75" customHeight="1">
      <c r="A136" s="110">
        <f t="shared" si="1"/>
        <v>124</v>
      </c>
      <c r="B136" s="117">
        <v>9020</v>
      </c>
      <c r="C136" s="118" t="s">
        <v>185</v>
      </c>
      <c r="D136" s="136">
        <f>'C.2.2 B 09'!P89</f>
        <v>1202767.575172228</v>
      </c>
    </row>
    <row r="137" spans="1:5" ht="15.75" customHeight="1">
      <c r="A137" s="110">
        <f t="shared" si="1"/>
        <v>125</v>
      </c>
      <c r="B137" s="117">
        <v>9030</v>
      </c>
      <c r="C137" s="118" t="s">
        <v>186</v>
      </c>
      <c r="D137" s="136">
        <f>'C.2.2 B 09'!P90</f>
        <v>379869.58454602241</v>
      </c>
    </row>
    <row r="138" spans="1:5" ht="15.75" customHeight="1">
      <c r="A138" s="110">
        <f t="shared" si="1"/>
        <v>126</v>
      </c>
      <c r="B138" s="117">
        <v>9040</v>
      </c>
      <c r="C138" s="118" t="s">
        <v>187</v>
      </c>
      <c r="D138" s="124">
        <f>'C.2.2 B 09'!P91</f>
        <v>564321.71039999998</v>
      </c>
      <c r="E138" s="148"/>
    </row>
    <row r="139" spans="1:5" ht="15.75" customHeight="1">
      <c r="A139" s="110">
        <f t="shared" si="1"/>
        <v>127</v>
      </c>
      <c r="B139" s="110"/>
      <c r="C139" s="137" t="s">
        <v>188</v>
      </c>
      <c r="D139" s="119">
        <f>SUM(D135:D138)</f>
        <v>2146958.8701182501</v>
      </c>
    </row>
    <row r="140" spans="1:5" ht="15.75" customHeight="1">
      <c r="A140" s="110">
        <f t="shared" si="1"/>
        <v>128</v>
      </c>
      <c r="B140" s="125"/>
      <c r="C140" s="137"/>
      <c r="D140" s="123"/>
    </row>
    <row r="141" spans="1:5" ht="15.75" customHeight="1">
      <c r="A141" s="110">
        <f t="shared" si="1"/>
        <v>129</v>
      </c>
      <c r="B141" s="125"/>
      <c r="C141" s="133" t="s">
        <v>189</v>
      </c>
      <c r="D141" s="134"/>
    </row>
    <row r="142" spans="1:5" ht="15.75" customHeight="1">
      <c r="A142" s="110">
        <f t="shared" si="1"/>
        <v>130</v>
      </c>
      <c r="B142" s="117">
        <v>9070</v>
      </c>
      <c r="C142" s="118" t="s">
        <v>184</v>
      </c>
      <c r="D142" s="139">
        <v>0</v>
      </c>
    </row>
    <row r="143" spans="1:5" ht="15.75" customHeight="1">
      <c r="A143" s="110">
        <f t="shared" ref="A143:A181" si="2">A142+1</f>
        <v>131</v>
      </c>
      <c r="B143" s="117">
        <v>9080</v>
      </c>
      <c r="C143" s="118" t="s">
        <v>190</v>
      </c>
      <c r="D143" s="136">
        <v>0</v>
      </c>
    </row>
    <row r="144" spans="1:5" ht="15.75" customHeight="1">
      <c r="A144" s="110">
        <f t="shared" si="2"/>
        <v>132</v>
      </c>
      <c r="B144" s="117">
        <v>9090</v>
      </c>
      <c r="C144" s="118" t="s">
        <v>191</v>
      </c>
      <c r="D144" s="136">
        <f>'C.2.2 B 09'!P92</f>
        <v>125152.43264437889</v>
      </c>
    </row>
    <row r="145" spans="1:4" ht="15.75" customHeight="1">
      <c r="A145" s="110">
        <f t="shared" si="2"/>
        <v>133</v>
      </c>
      <c r="B145" s="117">
        <v>9100</v>
      </c>
      <c r="C145" s="118" t="s">
        <v>192</v>
      </c>
      <c r="D145" s="124">
        <f>'C.2.2 B 09'!P93</f>
        <v>183.78356405221172</v>
      </c>
    </row>
    <row r="146" spans="1:4" ht="15.75" customHeight="1">
      <c r="A146" s="110">
        <f t="shared" si="2"/>
        <v>134</v>
      </c>
      <c r="B146" s="110"/>
      <c r="C146" s="137" t="s">
        <v>193</v>
      </c>
      <c r="D146" s="119">
        <f>SUM(D142:D145)</f>
        <v>125336.2162084311</v>
      </c>
    </row>
    <row r="147" spans="1:4" ht="15.75" customHeight="1">
      <c r="A147" s="110">
        <f t="shared" si="2"/>
        <v>135</v>
      </c>
      <c r="B147" s="110"/>
      <c r="C147" s="114"/>
      <c r="D147" s="126"/>
    </row>
    <row r="148" spans="1:4" ht="15.75" customHeight="1">
      <c r="A148" s="110">
        <f t="shared" si="2"/>
        <v>136</v>
      </c>
      <c r="B148" s="110"/>
      <c r="C148" s="133" t="s">
        <v>66</v>
      </c>
      <c r="D148" s="126"/>
    </row>
    <row r="149" spans="1:4" ht="15.75" customHeight="1">
      <c r="A149" s="110">
        <f t="shared" si="2"/>
        <v>137</v>
      </c>
      <c r="B149" s="117">
        <v>9110</v>
      </c>
      <c r="C149" s="118" t="s">
        <v>184</v>
      </c>
      <c r="D149" s="139">
        <f>'C.2.2 B 09'!P94</f>
        <v>257746.70503193676</v>
      </c>
    </row>
    <row r="150" spans="1:4" ht="15.75" customHeight="1">
      <c r="A150" s="110">
        <f t="shared" si="2"/>
        <v>138</v>
      </c>
      <c r="B150" s="117">
        <v>9120</v>
      </c>
      <c r="C150" s="118" t="s">
        <v>194</v>
      </c>
      <c r="D150" s="136">
        <f>'C.2.2 B 09'!P95</f>
        <v>56174.592297134361</v>
      </c>
    </row>
    <row r="151" spans="1:4" ht="15.75" customHeight="1">
      <c r="A151" s="110">
        <f t="shared" si="2"/>
        <v>139</v>
      </c>
      <c r="B151" s="117">
        <v>9130</v>
      </c>
      <c r="C151" s="118" t="s">
        <v>195</v>
      </c>
      <c r="D151" s="136">
        <f>'C.2.2 B 09'!P96</f>
        <v>23114.350742867809</v>
      </c>
    </row>
    <row r="152" spans="1:4" ht="15.75" customHeight="1">
      <c r="A152" s="110">
        <f t="shared" si="2"/>
        <v>140</v>
      </c>
      <c r="B152" s="117">
        <v>9160</v>
      </c>
      <c r="C152" s="118" t="s">
        <v>196</v>
      </c>
      <c r="D152" s="124">
        <v>0</v>
      </c>
    </row>
    <row r="153" spans="1:4" ht="15.75" customHeight="1">
      <c r="A153" s="110">
        <f t="shared" si="2"/>
        <v>141</v>
      </c>
      <c r="B153" s="110"/>
      <c r="C153" s="137" t="s">
        <v>197</v>
      </c>
      <c r="D153" s="119">
        <f>SUM(D149:D152)</f>
        <v>337035.64807193889</v>
      </c>
    </row>
    <row r="154" spans="1:4" ht="15.75" customHeight="1">
      <c r="A154" s="110">
        <f t="shared" si="2"/>
        <v>142</v>
      </c>
      <c r="B154" s="125"/>
      <c r="D154" s="126"/>
    </row>
    <row r="155" spans="1:4" ht="15.75" customHeight="1">
      <c r="A155" s="110">
        <f t="shared" si="2"/>
        <v>143</v>
      </c>
      <c r="B155" s="110"/>
      <c r="C155" s="133" t="s">
        <v>198</v>
      </c>
      <c r="D155" s="126"/>
    </row>
    <row r="156" spans="1:4" ht="15.75" customHeight="1">
      <c r="A156" s="110">
        <f t="shared" si="2"/>
        <v>144</v>
      </c>
      <c r="B156" s="117">
        <v>9200</v>
      </c>
      <c r="C156" s="118" t="s">
        <v>199</v>
      </c>
      <c r="D156" s="139">
        <f>'C.2.2 B 09'!P97</f>
        <v>134097.63307528791</v>
      </c>
    </row>
    <row r="157" spans="1:4" ht="15.75" customHeight="1">
      <c r="A157" s="110">
        <f t="shared" si="2"/>
        <v>145</v>
      </c>
      <c r="B157" s="117">
        <v>9210</v>
      </c>
      <c r="C157" s="118" t="s">
        <v>200</v>
      </c>
      <c r="D157" s="136">
        <f>'C.2.2 B 09'!P98</f>
        <v>7609.9836462125641</v>
      </c>
    </row>
    <row r="158" spans="1:4" ht="15.75" customHeight="1">
      <c r="A158" s="110">
        <f t="shared" si="2"/>
        <v>146</v>
      </c>
      <c r="B158" s="117">
        <v>9220</v>
      </c>
      <c r="C158" s="118" t="s">
        <v>201</v>
      </c>
      <c r="D158" s="136">
        <f>'C.2.2 B 09'!P99</f>
        <v>13070219.117788246</v>
      </c>
    </row>
    <row r="159" spans="1:4" ht="15.75" customHeight="1">
      <c r="A159" s="110">
        <f t="shared" si="2"/>
        <v>147</v>
      </c>
      <c r="B159" s="117">
        <v>9230</v>
      </c>
      <c r="C159" s="118" t="s">
        <v>202</v>
      </c>
      <c r="D159" s="136">
        <f>'C.2.2 B 09'!P100</f>
        <v>201632.49667933921</v>
      </c>
    </row>
    <row r="160" spans="1:4" ht="15.75" customHeight="1">
      <c r="A160" s="110">
        <f t="shared" si="2"/>
        <v>148</v>
      </c>
      <c r="B160" s="117">
        <v>9240</v>
      </c>
      <c r="C160" s="118" t="s">
        <v>203</v>
      </c>
      <c r="D160" s="136">
        <f>'C.2.2 B 09'!P101</f>
        <v>84990.611116541942</v>
      </c>
    </row>
    <row r="161" spans="1:7" ht="15.75" customHeight="1">
      <c r="A161" s="110">
        <f t="shared" si="2"/>
        <v>149</v>
      </c>
      <c r="B161" s="117">
        <v>9250</v>
      </c>
      <c r="C161" s="118" t="s">
        <v>204</v>
      </c>
      <c r="D161" s="136">
        <f>'C.2.2 B 09'!P102</f>
        <v>232180.71802061409</v>
      </c>
    </row>
    <row r="162" spans="1:7" ht="15.75" customHeight="1">
      <c r="A162" s="110">
        <f t="shared" si="2"/>
        <v>150</v>
      </c>
      <c r="B162" s="117">
        <v>9260</v>
      </c>
      <c r="C162" s="118" t="s">
        <v>205</v>
      </c>
      <c r="D162" s="136">
        <f>'C.2.2 B 09'!P103</f>
        <v>2194043.9592287075</v>
      </c>
    </row>
    <row r="163" spans="1:7" ht="15.75" customHeight="1">
      <c r="A163" s="110">
        <f t="shared" si="2"/>
        <v>151</v>
      </c>
      <c r="B163" s="117">
        <v>9270</v>
      </c>
      <c r="C163" s="118" t="s">
        <v>206</v>
      </c>
      <c r="D163" s="136">
        <f>'C.2.2 B 09'!P104</f>
        <v>386.17244583493357</v>
      </c>
    </row>
    <row r="164" spans="1:7" ht="15.75" customHeight="1">
      <c r="A164" s="110">
        <f t="shared" si="2"/>
        <v>152</v>
      </c>
      <c r="B164" s="117">
        <v>9280</v>
      </c>
      <c r="C164" s="118" t="s">
        <v>207</v>
      </c>
      <c r="D164" s="136">
        <f>'C.2.2 B 09'!P105</f>
        <v>11737.380528926924</v>
      </c>
    </row>
    <row r="165" spans="1:7" ht="15.75" customHeight="1">
      <c r="A165" s="110">
        <f t="shared" si="2"/>
        <v>153</v>
      </c>
      <c r="B165" s="149">
        <v>930.2</v>
      </c>
      <c r="C165" s="118" t="s">
        <v>208</v>
      </c>
      <c r="D165" s="136">
        <f>'C.2.2 B 09'!P106</f>
        <v>42277.978065082491</v>
      </c>
    </row>
    <row r="166" spans="1:7" ht="15.75" customHeight="1">
      <c r="A166" s="110">
        <f t="shared" si="2"/>
        <v>154</v>
      </c>
      <c r="B166" s="117">
        <v>9310</v>
      </c>
      <c r="C166" s="118" t="s">
        <v>209</v>
      </c>
      <c r="D166" s="138">
        <f>'C.2.2 B 09'!P107</f>
        <v>13647.466015270216</v>
      </c>
    </row>
    <row r="167" spans="1:7" ht="15.75" customHeight="1">
      <c r="A167" s="110">
        <f t="shared" si="2"/>
        <v>155</v>
      </c>
      <c r="B167" s="110"/>
      <c r="C167" s="137" t="s">
        <v>210</v>
      </c>
      <c r="D167" s="119">
        <f>SUM(D156:D166)</f>
        <v>15992823.516610064</v>
      </c>
    </row>
    <row r="168" spans="1:7" ht="15.75" customHeight="1">
      <c r="A168" s="110">
        <f t="shared" si="2"/>
        <v>156</v>
      </c>
      <c r="B168" s="110"/>
      <c r="C168" s="114"/>
      <c r="D168" s="126"/>
    </row>
    <row r="169" spans="1:7" ht="15.75" customHeight="1">
      <c r="A169" s="110">
        <f t="shared" si="2"/>
        <v>157</v>
      </c>
      <c r="B169" s="110"/>
      <c r="C169" s="133" t="s">
        <v>211</v>
      </c>
      <c r="D169" s="126"/>
    </row>
    <row r="170" spans="1:7" ht="15.75" customHeight="1">
      <c r="A170" s="110">
        <f t="shared" si="2"/>
        <v>158</v>
      </c>
      <c r="B170" s="117">
        <v>9320</v>
      </c>
      <c r="C170" s="118" t="s">
        <v>212</v>
      </c>
      <c r="D170" s="138">
        <f>'C.2.2 B 09'!P108</f>
        <v>2010.2359013780328</v>
      </c>
    </row>
    <row r="171" spans="1:7" ht="15.75" customHeight="1">
      <c r="A171" s="110">
        <f t="shared" si="2"/>
        <v>159</v>
      </c>
      <c r="B171" s="110"/>
      <c r="C171" s="137" t="s">
        <v>213</v>
      </c>
      <c r="D171" s="150">
        <f>SUM(D170:D170)</f>
        <v>2010.2359013780328</v>
      </c>
    </row>
    <row r="172" spans="1:7" ht="15.75" customHeight="1">
      <c r="A172" s="110">
        <f t="shared" si="2"/>
        <v>160</v>
      </c>
      <c r="B172" s="125"/>
      <c r="D172" s="134"/>
    </row>
    <row r="173" spans="1:7" ht="15.75" customHeight="1">
      <c r="A173" s="110">
        <f t="shared" si="2"/>
        <v>161</v>
      </c>
      <c r="B173" s="110"/>
      <c r="C173" s="115" t="s">
        <v>214</v>
      </c>
      <c r="D173" s="151">
        <f>+D38+D42+D54+D64+D74+D82+D104+D119+D132+D139+D146+D153+D167+D171</f>
        <v>103680465.54658766</v>
      </c>
      <c r="G173" s="116"/>
    </row>
    <row r="174" spans="1:7" ht="15.75" customHeight="1">
      <c r="A174" s="110">
        <f t="shared" si="2"/>
        <v>162</v>
      </c>
      <c r="B174" s="125"/>
      <c r="D174" s="134"/>
    </row>
    <row r="175" spans="1:7" ht="15.75" customHeight="1">
      <c r="A175" s="110">
        <f t="shared" si="2"/>
        <v>163</v>
      </c>
      <c r="B175" s="110" t="s">
        <v>215</v>
      </c>
      <c r="C175" s="111" t="s">
        <v>216</v>
      </c>
      <c r="D175" s="150">
        <f>SUM('C.2.2 B 09'!P14:P15)</f>
        <v>18252729.938099388</v>
      </c>
    </row>
    <row r="176" spans="1:7" ht="15.75" customHeight="1">
      <c r="A176" s="110">
        <f t="shared" si="2"/>
        <v>164</v>
      </c>
      <c r="B176" s="117">
        <v>4081</v>
      </c>
      <c r="C176" s="111" t="s">
        <v>217</v>
      </c>
      <c r="D176" s="136">
        <f>'C.2.2 B 09'!P16</f>
        <v>6437544.724313166</v>
      </c>
    </row>
    <row r="177" spans="1:7" ht="15.75" customHeight="1">
      <c r="A177" s="110">
        <f t="shared" si="2"/>
        <v>165</v>
      </c>
      <c r="B177" s="117" t="s">
        <v>218</v>
      </c>
      <c r="C177" s="111" t="s">
        <v>219</v>
      </c>
      <c r="D177" s="124">
        <v>9441570.4598264247</v>
      </c>
      <c r="F177" s="129"/>
      <c r="G177" s="129"/>
    </row>
    <row r="178" spans="1:7" ht="15.75" customHeight="1">
      <c r="A178" s="110">
        <f t="shared" si="2"/>
        <v>166</v>
      </c>
      <c r="B178" s="125"/>
      <c r="D178" s="134"/>
    </row>
    <row r="179" spans="1:7" ht="15.75" customHeight="1">
      <c r="A179" s="110">
        <f t="shared" si="2"/>
        <v>167</v>
      </c>
      <c r="B179" s="152"/>
      <c r="C179" s="111" t="s">
        <v>220</v>
      </c>
      <c r="D179" s="138">
        <f>+D173+SUM(D175:D177)</f>
        <v>137812310.66882664</v>
      </c>
    </row>
    <row r="180" spans="1:7" ht="15.75" customHeight="1">
      <c r="A180" s="110">
        <f t="shared" si="2"/>
        <v>168</v>
      </c>
      <c r="B180" s="153"/>
      <c r="D180" s="134"/>
    </row>
    <row r="181" spans="1:7" ht="15.75" customHeight="1" thickBot="1">
      <c r="A181" s="110">
        <f t="shared" si="2"/>
        <v>169</v>
      </c>
      <c r="B181" s="152"/>
      <c r="C181" s="111" t="s">
        <v>221</v>
      </c>
      <c r="D181" s="154">
        <f>D32-D179</f>
        <v>22059588.983209729</v>
      </c>
    </row>
    <row r="182" spans="1:7" ht="15.75" customHeight="1" thickTop="1">
      <c r="B182" s="155"/>
    </row>
    <row r="183" spans="1:7" ht="15.75" customHeight="1">
      <c r="A183" s="114"/>
      <c r="B183" s="155"/>
    </row>
    <row r="184" spans="1:7" ht="15.75" customHeight="1">
      <c r="B184" s="155"/>
    </row>
    <row r="185" spans="1:7" ht="15.75" customHeight="1">
      <c r="B185" s="155"/>
    </row>
    <row r="186" spans="1:7" ht="15.75" customHeight="1">
      <c r="B186" s="155"/>
    </row>
    <row r="187" spans="1:7" ht="15.75" customHeight="1">
      <c r="B187" s="155"/>
    </row>
    <row r="188" spans="1:7" ht="15.75" customHeight="1">
      <c r="B188" s="155"/>
    </row>
    <row r="189" spans="1:7" ht="15.75" customHeight="1">
      <c r="B189" s="155"/>
    </row>
    <row r="190" spans="1:7" ht="15.75" customHeight="1">
      <c r="B190" s="155"/>
    </row>
    <row r="191" spans="1:7" ht="15.75" customHeight="1">
      <c r="B191" s="153"/>
    </row>
    <row r="192" spans="1:7" ht="15.75" customHeight="1">
      <c r="B192" s="153"/>
    </row>
    <row r="193" spans="2:2" ht="15.75" customHeight="1">
      <c r="B193" s="153"/>
    </row>
    <row r="194" spans="2:2" ht="15.75" customHeight="1">
      <c r="B194" s="153"/>
    </row>
    <row r="195" spans="2:2" ht="15.75" customHeight="1">
      <c r="B195" s="153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 xml:space="preserve">&amp;R&amp;10CASE NO. 2015-00343
FR_16(8)(c)
ATTACHMENT 1
</oddHeader>
    <oddFooter>&amp;RSchedule &amp;A
Page &amp;P of &amp;N</oddFooter>
  </headerFooter>
  <rowBreaks count="3" manualBreakCount="3">
    <brk id="54" max="3" man="1"/>
    <brk id="105" max="3" man="1"/>
    <brk id="15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zoomScale="80" zoomScaleNormal="80" zoomScaleSheetLayoutView="80" workbookViewId="0">
      <pane ySplit="11" topLeftCell="A12" activePane="bottomLeft" state="frozen"/>
      <selection activeCell="C19" sqref="C19"/>
      <selection pane="bottomLeft" activeCell="A12" sqref="A12"/>
    </sheetView>
  </sheetViews>
  <sheetFormatPr defaultColWidth="8.44140625" defaultRowHeight="15"/>
  <cols>
    <col min="1" max="1" width="4.77734375" style="6" customWidth="1"/>
    <col min="2" max="2" width="11.88671875" style="6" customWidth="1"/>
    <col min="3" max="3" width="45.77734375" style="6" customWidth="1"/>
    <col min="4" max="4" width="14.44140625" style="6" customWidth="1"/>
    <col min="5" max="5" width="3.77734375" style="6" customWidth="1"/>
    <col min="6" max="6" width="14" style="6" customWidth="1"/>
    <col min="7" max="7" width="11.109375" style="6" customWidth="1"/>
    <col min="8" max="8" width="10.88671875" style="6" customWidth="1"/>
    <col min="9" max="16384" width="8.44140625" style="6"/>
  </cols>
  <sheetData>
    <row r="1" spans="1:8">
      <c r="A1" s="312" t="s">
        <v>392</v>
      </c>
      <c r="B1" s="312"/>
      <c r="C1" s="312"/>
      <c r="D1" s="312"/>
      <c r="E1" s="156"/>
    </row>
    <row r="2" spans="1:8">
      <c r="A2" s="312" t="s">
        <v>393</v>
      </c>
      <c r="B2" s="312"/>
      <c r="C2" s="312"/>
      <c r="D2" s="312"/>
      <c r="E2" s="156"/>
    </row>
    <row r="3" spans="1:8">
      <c r="A3" s="312" t="s">
        <v>222</v>
      </c>
      <c r="B3" s="312"/>
      <c r="C3" s="312"/>
      <c r="D3" s="312"/>
      <c r="E3" s="156"/>
    </row>
    <row r="4" spans="1:8">
      <c r="A4" s="312" t="s">
        <v>395</v>
      </c>
      <c r="B4" s="312"/>
      <c r="C4" s="312"/>
      <c r="D4" s="312"/>
      <c r="E4" s="156"/>
    </row>
    <row r="5" spans="1:8">
      <c r="A5" s="157"/>
      <c r="B5" s="157"/>
      <c r="C5" s="158"/>
      <c r="D5" s="158"/>
      <c r="E5" s="158"/>
    </row>
    <row r="6" spans="1:8">
      <c r="A6" s="11" t="s">
        <v>223</v>
      </c>
      <c r="D6" s="105" t="s">
        <v>75</v>
      </c>
      <c r="E6" s="105"/>
    </row>
    <row r="7" spans="1:8">
      <c r="A7" s="11" t="str">
        <f>'C.2.1 B'!A7</f>
        <v>Type of Filing:___X____Original________Updated ________Revised</v>
      </c>
      <c r="D7" s="106" t="s">
        <v>224</v>
      </c>
      <c r="E7" s="106"/>
    </row>
    <row r="8" spans="1:8">
      <c r="A8" s="14" t="s">
        <v>17</v>
      </c>
      <c r="B8" s="15"/>
      <c r="C8" s="15"/>
      <c r="D8" s="159" t="str">
        <f>C.1!J9</f>
        <v>Witness: Waller, Smith</v>
      </c>
      <c r="E8" s="160"/>
    </row>
    <row r="9" spans="1:8">
      <c r="D9" s="63"/>
      <c r="E9" s="63"/>
    </row>
    <row r="10" spans="1:8">
      <c r="A10" s="57" t="s">
        <v>21</v>
      </c>
      <c r="B10" s="63" t="s">
        <v>77</v>
      </c>
      <c r="C10" s="57" t="s">
        <v>77</v>
      </c>
      <c r="D10" s="63" t="s">
        <v>78</v>
      </c>
      <c r="E10" s="63"/>
    </row>
    <row r="11" spans="1:8">
      <c r="A11" s="60" t="s">
        <v>24</v>
      </c>
      <c r="B11" s="64" t="s">
        <v>79</v>
      </c>
      <c r="C11" s="60" t="s">
        <v>80</v>
      </c>
      <c r="D11" s="64" t="s">
        <v>81</v>
      </c>
      <c r="E11" s="161"/>
    </row>
    <row r="12" spans="1:8">
      <c r="D12" s="63" t="s">
        <v>82</v>
      </c>
      <c r="E12" s="63"/>
    </row>
    <row r="13" spans="1:8">
      <c r="A13" s="63">
        <v>1</v>
      </c>
      <c r="B13" s="56"/>
      <c r="C13" s="162" t="s">
        <v>83</v>
      </c>
    </row>
    <row r="14" spans="1:8">
      <c r="A14" s="63">
        <f>A13+1</f>
        <v>2</v>
      </c>
      <c r="B14" s="63"/>
      <c r="C14" s="162" t="s">
        <v>84</v>
      </c>
      <c r="G14" s="99"/>
      <c r="H14" s="163"/>
    </row>
    <row r="15" spans="1:8">
      <c r="A15" s="63">
        <f t="shared" ref="A15:A78" si="0">A14+1</f>
        <v>3</v>
      </c>
      <c r="B15" s="164">
        <v>4800</v>
      </c>
      <c r="C15" s="165" t="s">
        <v>85</v>
      </c>
      <c r="D15" s="166">
        <f>-'C.2.2-F 09'!P17</f>
        <v>95823029.825353429</v>
      </c>
      <c r="E15" s="166"/>
      <c r="G15" s="99"/>
      <c r="H15" s="99"/>
    </row>
    <row r="16" spans="1:8">
      <c r="A16" s="63">
        <f t="shared" si="0"/>
        <v>4</v>
      </c>
      <c r="B16" s="164">
        <v>4811</v>
      </c>
      <c r="C16" s="165" t="s">
        <v>87</v>
      </c>
      <c r="D16" s="167">
        <f>-'C.2.2-F 09'!P19</f>
        <v>39862445.220677249</v>
      </c>
      <c r="E16" s="167"/>
      <c r="G16" s="99"/>
      <c r="H16" s="99"/>
    </row>
    <row r="17" spans="1:8">
      <c r="A17" s="63">
        <f t="shared" si="0"/>
        <v>5</v>
      </c>
      <c r="B17" s="164">
        <v>4812</v>
      </c>
      <c r="C17" s="165" t="s">
        <v>88</v>
      </c>
      <c r="D17" s="167">
        <f>-'C.2.2-F 09'!P20</f>
        <v>4880527.2397751613</v>
      </c>
      <c r="E17" s="167"/>
      <c r="F17" s="79"/>
      <c r="G17" s="168"/>
      <c r="H17" s="99"/>
    </row>
    <row r="18" spans="1:8">
      <c r="A18" s="63">
        <f t="shared" si="0"/>
        <v>6</v>
      </c>
      <c r="B18" s="164">
        <v>4820</v>
      </c>
      <c r="C18" s="165" t="s">
        <v>91</v>
      </c>
      <c r="D18" s="169">
        <f>-'C.2.2-F 09'!P23</f>
        <v>7189609.0439688396</v>
      </c>
      <c r="E18" s="167"/>
      <c r="F18" s="79"/>
      <c r="G18" s="168"/>
      <c r="H18" s="99"/>
    </row>
    <row r="19" spans="1:8">
      <c r="A19" s="63">
        <f t="shared" si="0"/>
        <v>7</v>
      </c>
      <c r="B19" s="63"/>
      <c r="C19" s="57" t="s">
        <v>93</v>
      </c>
      <c r="D19" s="25">
        <f>SUM(D15:D18)</f>
        <v>147755611.32977465</v>
      </c>
      <c r="E19" s="25"/>
      <c r="F19" s="79"/>
      <c r="G19" s="168"/>
      <c r="H19" s="99"/>
    </row>
    <row r="20" spans="1:8">
      <c r="A20" s="63">
        <f t="shared" si="0"/>
        <v>8</v>
      </c>
      <c r="B20" s="4"/>
      <c r="D20" s="5"/>
      <c r="E20" s="5"/>
      <c r="F20" s="79"/>
      <c r="G20" s="168"/>
      <c r="H20" s="99"/>
    </row>
    <row r="21" spans="1:8">
      <c r="A21" s="63">
        <f t="shared" si="0"/>
        <v>9</v>
      </c>
      <c r="B21" s="4"/>
      <c r="C21" s="162" t="s">
        <v>94</v>
      </c>
      <c r="D21" s="73"/>
      <c r="E21" s="73"/>
      <c r="F21" s="79"/>
      <c r="G21" s="168"/>
      <c r="H21" s="99"/>
    </row>
    <row r="22" spans="1:8">
      <c r="A22" s="63">
        <f t="shared" si="0"/>
        <v>10</v>
      </c>
      <c r="B22" s="164">
        <v>4870</v>
      </c>
      <c r="C22" s="165" t="s">
        <v>95</v>
      </c>
      <c r="D22" s="166">
        <f>-'C.2.2-F 09'!P25</f>
        <v>1140887.1789956738</v>
      </c>
      <c r="E22" s="166"/>
      <c r="F22" s="79"/>
      <c r="G22" s="168"/>
      <c r="H22" s="99"/>
    </row>
    <row r="23" spans="1:8">
      <c r="A23" s="63">
        <f t="shared" si="0"/>
        <v>11</v>
      </c>
      <c r="B23" s="164">
        <v>4880</v>
      </c>
      <c r="C23" s="165" t="s">
        <v>96</v>
      </c>
      <c r="D23" s="167">
        <f>-'C.2.2-F 09'!P26</f>
        <v>795825</v>
      </c>
      <c r="E23" s="167"/>
      <c r="F23" s="79"/>
      <c r="G23" s="168"/>
      <c r="H23" s="99"/>
    </row>
    <row r="24" spans="1:8">
      <c r="A24" s="63">
        <f t="shared" si="0"/>
        <v>12</v>
      </c>
      <c r="B24" s="170" t="s">
        <v>225</v>
      </c>
      <c r="C24" s="171" t="s">
        <v>97</v>
      </c>
      <c r="D24" s="167">
        <f>-'C.2.2-F 09'!P27</f>
        <v>14493603.90615</v>
      </c>
      <c r="E24" s="167"/>
      <c r="F24" s="79"/>
      <c r="G24" s="79"/>
      <c r="H24" s="99"/>
    </row>
    <row r="25" spans="1:8">
      <c r="A25" s="63">
        <f t="shared" si="0"/>
        <v>13</v>
      </c>
      <c r="B25" s="164">
        <v>4950</v>
      </c>
      <c r="C25" s="165" t="s">
        <v>98</v>
      </c>
      <c r="D25" s="167">
        <f>-'C.2.2-F 09'!P28</f>
        <v>2618728.0574999996</v>
      </c>
      <c r="E25" s="167"/>
      <c r="F25" s="79"/>
      <c r="G25" s="79"/>
      <c r="H25" s="99"/>
    </row>
    <row r="26" spans="1:8">
      <c r="A26" s="63">
        <f t="shared" si="0"/>
        <v>14</v>
      </c>
      <c r="B26" s="4"/>
      <c r="C26" s="57" t="s">
        <v>99</v>
      </c>
      <c r="D26" s="172">
        <f>SUM(D22:D25)</f>
        <v>19049044.142645676</v>
      </c>
      <c r="E26" s="25"/>
      <c r="F26" s="79"/>
      <c r="G26" s="168"/>
      <c r="H26" s="99"/>
    </row>
    <row r="27" spans="1:8">
      <c r="A27" s="63">
        <f t="shared" si="0"/>
        <v>15</v>
      </c>
      <c r="B27" s="4"/>
      <c r="D27" s="73"/>
      <c r="E27" s="73"/>
      <c r="F27" s="79"/>
      <c r="G27" s="79"/>
      <c r="H27" s="99"/>
    </row>
    <row r="28" spans="1:8">
      <c r="A28" s="63">
        <f t="shared" si="0"/>
        <v>16</v>
      </c>
      <c r="B28" s="63"/>
      <c r="C28" s="57" t="s">
        <v>100</v>
      </c>
      <c r="D28" s="173">
        <f>D26+D19</f>
        <v>166804655.47242033</v>
      </c>
      <c r="E28" s="173"/>
      <c r="F28" s="79"/>
      <c r="G28" s="168"/>
      <c r="H28" s="99"/>
    </row>
    <row r="29" spans="1:8">
      <c r="A29" s="63">
        <f t="shared" si="0"/>
        <v>17</v>
      </c>
      <c r="B29" s="4"/>
      <c r="D29" s="73"/>
      <c r="E29" s="73"/>
    </row>
    <row r="30" spans="1:8">
      <c r="A30" s="63">
        <f t="shared" si="0"/>
        <v>18</v>
      </c>
      <c r="B30" s="4"/>
      <c r="C30" s="162" t="s">
        <v>101</v>
      </c>
      <c r="D30" s="73"/>
      <c r="E30" s="73"/>
    </row>
    <row r="31" spans="1:8">
      <c r="A31" s="63">
        <f t="shared" si="0"/>
        <v>19</v>
      </c>
      <c r="B31" s="4"/>
      <c r="C31" s="174" t="s">
        <v>102</v>
      </c>
      <c r="D31" s="5"/>
      <c r="E31" s="5"/>
    </row>
    <row r="32" spans="1:8">
      <c r="A32" s="63">
        <f t="shared" si="0"/>
        <v>20</v>
      </c>
      <c r="B32" s="175">
        <v>7560</v>
      </c>
      <c r="C32" s="165" t="s">
        <v>103</v>
      </c>
      <c r="D32" s="167">
        <f>'C.2.2-F 09'!P29</f>
        <v>103.72113051435586</v>
      </c>
      <c r="E32" s="167"/>
    </row>
    <row r="33" spans="1:10">
      <c r="A33" s="63">
        <f t="shared" si="0"/>
        <v>21</v>
      </c>
      <c r="B33" s="135">
        <v>7590</v>
      </c>
      <c r="C33" s="118" t="s">
        <v>104</v>
      </c>
      <c r="D33" s="145">
        <f>'C.2.2-F 09'!P30</f>
        <v>0</v>
      </c>
      <c r="E33" s="167"/>
    </row>
    <row r="34" spans="1:10">
      <c r="A34" s="63">
        <f t="shared" si="0"/>
        <v>22</v>
      </c>
      <c r="B34" s="4"/>
      <c r="C34" s="80" t="s">
        <v>105</v>
      </c>
      <c r="D34" s="172">
        <f>SUM(D32:D33)</f>
        <v>103.72113051435586</v>
      </c>
      <c r="E34" s="25"/>
      <c r="F34" s="79"/>
      <c r="G34" s="168"/>
    </row>
    <row r="35" spans="1:10">
      <c r="A35" s="63">
        <f t="shared" si="0"/>
        <v>23</v>
      </c>
      <c r="B35" s="4"/>
      <c r="C35" s="11"/>
      <c r="D35" s="38"/>
      <c r="E35" s="38"/>
    </row>
    <row r="36" spans="1:10">
      <c r="A36" s="63">
        <f t="shared" si="0"/>
        <v>24</v>
      </c>
      <c r="B36" s="4"/>
      <c r="C36" s="174" t="s">
        <v>106</v>
      </c>
      <c r="D36" s="38"/>
      <c r="E36" s="38"/>
    </row>
    <row r="37" spans="1:10">
      <c r="A37" s="63">
        <f t="shared" si="0"/>
        <v>25</v>
      </c>
      <c r="B37" s="175">
        <v>7610</v>
      </c>
      <c r="C37" s="165" t="s">
        <v>226</v>
      </c>
      <c r="D37" s="176">
        <v>0</v>
      </c>
      <c r="E37" s="166"/>
    </row>
    <row r="38" spans="1:10">
      <c r="A38" s="63">
        <f t="shared" si="0"/>
        <v>26</v>
      </c>
      <c r="B38" s="4"/>
      <c r="C38" s="11"/>
      <c r="D38" s="25">
        <f>SUM(D37)</f>
        <v>0</v>
      </c>
      <c r="E38" s="25"/>
    </row>
    <row r="39" spans="1:10">
      <c r="A39" s="63">
        <f t="shared" si="0"/>
        <v>27</v>
      </c>
      <c r="B39" s="4"/>
      <c r="C39" s="174" t="s">
        <v>108</v>
      </c>
      <c r="D39" s="5"/>
      <c r="E39" s="5"/>
    </row>
    <row r="40" spans="1:10">
      <c r="A40" s="63">
        <f t="shared" si="0"/>
        <v>28</v>
      </c>
      <c r="B40" s="175">
        <v>8140</v>
      </c>
      <c r="C40" s="165" t="s">
        <v>109</v>
      </c>
      <c r="D40" s="166">
        <f>'C.2.2-F 09'!P46</f>
        <v>-73.411813745234497</v>
      </c>
      <c r="E40" s="166"/>
      <c r="J40" s="177"/>
    </row>
    <row r="41" spans="1:10">
      <c r="A41" s="63">
        <f t="shared" si="0"/>
        <v>29</v>
      </c>
      <c r="B41" s="175">
        <v>8150</v>
      </c>
      <c r="C41" s="165" t="s">
        <v>110</v>
      </c>
      <c r="D41" s="167">
        <v>0</v>
      </c>
      <c r="E41" s="178"/>
    </row>
    <row r="42" spans="1:10">
      <c r="A42" s="63">
        <f t="shared" si="0"/>
        <v>30</v>
      </c>
      <c r="B42" s="175">
        <v>8160</v>
      </c>
      <c r="C42" s="165" t="s">
        <v>111</v>
      </c>
      <c r="D42" s="167">
        <f>'C.2.2-F 09'!P47</f>
        <v>92006.908220302023</v>
      </c>
      <c r="E42" s="178"/>
      <c r="J42" s="177"/>
    </row>
    <row r="43" spans="1:10">
      <c r="A43" s="63">
        <f t="shared" si="0"/>
        <v>31</v>
      </c>
      <c r="B43" s="175">
        <v>8170</v>
      </c>
      <c r="C43" s="165" t="s">
        <v>112</v>
      </c>
      <c r="D43" s="167">
        <f>'C.2.2-F 09'!P48</f>
        <v>36434.826208633858</v>
      </c>
      <c r="E43" s="178"/>
      <c r="J43" s="177"/>
    </row>
    <row r="44" spans="1:10">
      <c r="A44" s="63">
        <f t="shared" si="0"/>
        <v>32</v>
      </c>
      <c r="B44" s="175">
        <v>8180</v>
      </c>
      <c r="C44" s="165" t="s">
        <v>113</v>
      </c>
      <c r="D44" s="167">
        <f>'C.2.2-F 09'!P49</f>
        <v>26327.414943322936</v>
      </c>
      <c r="E44" s="178"/>
      <c r="J44" s="177"/>
    </row>
    <row r="45" spans="1:10">
      <c r="A45" s="63">
        <f t="shared" si="0"/>
        <v>33</v>
      </c>
      <c r="B45" s="179">
        <v>8190</v>
      </c>
      <c r="C45" s="180" t="s">
        <v>114</v>
      </c>
      <c r="D45" s="167">
        <f>'C.2.2-F 09'!P50</f>
        <v>696.66560730043182</v>
      </c>
      <c r="E45" s="178"/>
      <c r="J45" s="177"/>
    </row>
    <row r="46" spans="1:10">
      <c r="A46" s="63">
        <f t="shared" si="0"/>
        <v>34</v>
      </c>
      <c r="B46" s="179">
        <v>8200</v>
      </c>
      <c r="C46" s="180" t="s">
        <v>115</v>
      </c>
      <c r="D46" s="167">
        <f>'C.2.2-F 09'!P51</f>
        <v>2739.864372868532</v>
      </c>
      <c r="E46" s="178"/>
      <c r="J46" s="177"/>
    </row>
    <row r="47" spans="1:10">
      <c r="A47" s="63">
        <f t="shared" si="0"/>
        <v>35</v>
      </c>
      <c r="B47" s="179">
        <v>8210</v>
      </c>
      <c r="C47" s="180" t="s">
        <v>116</v>
      </c>
      <c r="D47" s="167">
        <f>'C.2.2-F 09'!P52</f>
        <v>46479.654188193097</v>
      </c>
      <c r="E47" s="178"/>
      <c r="J47" s="177"/>
    </row>
    <row r="48" spans="1:10">
      <c r="A48" s="63">
        <f t="shared" si="0"/>
        <v>36</v>
      </c>
      <c r="B48" s="179">
        <v>8240</v>
      </c>
      <c r="C48" s="180" t="s">
        <v>117</v>
      </c>
      <c r="D48" s="167">
        <f>'C.2.2-F 09'!P53</f>
        <v>1278.0995125652898</v>
      </c>
      <c r="E48" s="178"/>
      <c r="J48" s="177"/>
    </row>
    <row r="49" spans="1:10">
      <c r="A49" s="63">
        <f t="shared" si="0"/>
        <v>37</v>
      </c>
      <c r="B49" s="179">
        <v>8250</v>
      </c>
      <c r="C49" s="180" t="s">
        <v>118</v>
      </c>
      <c r="D49" s="167">
        <f>'C.2.2-F 09'!P54</f>
        <v>7367.963346891197</v>
      </c>
      <c r="E49" s="178"/>
      <c r="J49" s="177"/>
    </row>
    <row r="50" spans="1:10">
      <c r="A50" s="63">
        <f t="shared" si="0"/>
        <v>38</v>
      </c>
      <c r="B50" s="4"/>
      <c r="C50" s="80" t="s">
        <v>119</v>
      </c>
      <c r="D50" s="172">
        <f>SUM(D40:D49)</f>
        <v>213257.98458633214</v>
      </c>
      <c r="E50" s="25"/>
      <c r="F50" s="79"/>
      <c r="G50" s="168"/>
    </row>
    <row r="51" spans="1:10">
      <c r="A51" s="63">
        <f t="shared" si="0"/>
        <v>39</v>
      </c>
      <c r="B51" s="4"/>
      <c r="C51" s="11"/>
      <c r="D51" s="32"/>
      <c r="E51" s="32"/>
    </row>
    <row r="52" spans="1:10">
      <c r="A52" s="63">
        <f t="shared" si="0"/>
        <v>40</v>
      </c>
      <c r="B52" s="4"/>
      <c r="C52" s="174" t="s">
        <v>120</v>
      </c>
      <c r="D52" s="32"/>
      <c r="E52" s="32"/>
    </row>
    <row r="53" spans="1:10">
      <c r="A53" s="63">
        <f t="shared" si="0"/>
        <v>41</v>
      </c>
      <c r="B53" s="179">
        <v>8310</v>
      </c>
      <c r="C53" s="180" t="s">
        <v>121</v>
      </c>
      <c r="D53" s="166">
        <f>'C.2.2-F 09'!P55</f>
        <v>3834.223441099195</v>
      </c>
      <c r="E53" s="166"/>
      <c r="J53" s="177"/>
    </row>
    <row r="54" spans="1:10">
      <c r="A54" s="63">
        <f t="shared" si="0"/>
        <v>42</v>
      </c>
      <c r="B54" s="179">
        <v>8320</v>
      </c>
      <c r="C54" s="180" t="s">
        <v>122</v>
      </c>
      <c r="D54" s="167">
        <v>0</v>
      </c>
      <c r="E54" s="178"/>
    </row>
    <row r="55" spans="1:10">
      <c r="A55" s="63">
        <f t="shared" si="0"/>
        <v>43</v>
      </c>
      <c r="B55" s="179">
        <v>8340</v>
      </c>
      <c r="C55" s="180" t="s">
        <v>123</v>
      </c>
      <c r="D55" s="167">
        <f>'C.2.2-F 09'!P56</f>
        <v>3106.0895408107194</v>
      </c>
      <c r="E55" s="178"/>
      <c r="J55" s="177"/>
    </row>
    <row r="56" spans="1:10">
      <c r="A56" s="63">
        <f t="shared" si="0"/>
        <v>44</v>
      </c>
      <c r="B56" s="179">
        <v>8350</v>
      </c>
      <c r="C56" s="180" t="s">
        <v>124</v>
      </c>
      <c r="D56" s="167">
        <f>'C.2.2-F 09'!P57</f>
        <v>2423.8288034980792</v>
      </c>
      <c r="E56" s="178"/>
      <c r="J56" s="177"/>
    </row>
    <row r="57" spans="1:10">
      <c r="A57" s="63">
        <f t="shared" si="0"/>
        <v>45</v>
      </c>
      <c r="B57" s="179">
        <v>8360</v>
      </c>
      <c r="C57" s="180" t="s">
        <v>125</v>
      </c>
      <c r="D57" s="167">
        <f>'C.2.2-F 09'!P58</f>
        <v>247.85940069986549</v>
      </c>
      <c r="E57" s="178"/>
      <c r="J57" s="177"/>
    </row>
    <row r="58" spans="1:10">
      <c r="A58" s="63">
        <f t="shared" si="0"/>
        <v>46</v>
      </c>
      <c r="B58" s="179">
        <v>8370</v>
      </c>
      <c r="C58" s="180" t="s">
        <v>126</v>
      </c>
      <c r="D58" s="167">
        <f>'C.2.2-F 09'!P59</f>
        <v>0</v>
      </c>
      <c r="E58" s="178"/>
      <c r="J58" s="177"/>
    </row>
    <row r="59" spans="1:10">
      <c r="A59" s="63">
        <f t="shared" si="0"/>
        <v>47</v>
      </c>
      <c r="B59" s="181" t="s">
        <v>227</v>
      </c>
      <c r="C59" s="180" t="s">
        <v>128</v>
      </c>
      <c r="D59" s="167">
        <f>'C.2.2-F 09'!P60</f>
        <v>129336.15020381426</v>
      </c>
      <c r="E59" s="178"/>
    </row>
    <row r="60" spans="1:10">
      <c r="A60" s="63">
        <f t="shared" si="0"/>
        <v>48</v>
      </c>
      <c r="B60" s="4"/>
      <c r="C60" s="80" t="s">
        <v>129</v>
      </c>
      <c r="D60" s="172">
        <f>SUM(D53:D59)</f>
        <v>138948.15138992213</v>
      </c>
      <c r="E60" s="166"/>
      <c r="F60" s="79"/>
      <c r="G60" s="168"/>
    </row>
    <row r="61" spans="1:10">
      <c r="A61" s="63">
        <f t="shared" si="0"/>
        <v>49</v>
      </c>
      <c r="B61" s="4"/>
      <c r="C61" s="11"/>
      <c r="D61" s="32"/>
      <c r="E61" s="32"/>
    </row>
    <row r="62" spans="1:10">
      <c r="A62" s="63">
        <f t="shared" si="0"/>
        <v>50</v>
      </c>
      <c r="B62" s="4"/>
      <c r="C62" s="174" t="s">
        <v>130</v>
      </c>
      <c r="D62" s="32"/>
      <c r="E62" s="32"/>
    </row>
    <row r="63" spans="1:10">
      <c r="A63" s="63">
        <f t="shared" si="0"/>
        <v>51</v>
      </c>
      <c r="B63" s="179">
        <v>8500</v>
      </c>
      <c r="C63" s="180" t="s">
        <v>109</v>
      </c>
      <c r="D63" s="166">
        <v>0</v>
      </c>
      <c r="E63" s="166"/>
      <c r="J63" s="177"/>
    </row>
    <row r="64" spans="1:10">
      <c r="A64" s="63">
        <f t="shared" si="0"/>
        <v>52</v>
      </c>
      <c r="B64" s="179">
        <v>8520</v>
      </c>
      <c r="C64" s="141" t="s">
        <v>131</v>
      </c>
      <c r="D64" s="167">
        <f>'C.2.2-F 09'!P61</f>
        <v>0</v>
      </c>
      <c r="E64" s="166"/>
      <c r="J64" s="177"/>
    </row>
    <row r="65" spans="1:10">
      <c r="A65" s="63">
        <f t="shared" si="0"/>
        <v>53</v>
      </c>
      <c r="B65" s="179">
        <v>8550</v>
      </c>
      <c r="C65" s="141" t="s">
        <v>228</v>
      </c>
      <c r="D65" s="167">
        <f>'C.2.2-F 09'!P62</f>
        <v>50.244184785773342</v>
      </c>
      <c r="E65" s="166"/>
      <c r="J65" s="177"/>
    </row>
    <row r="66" spans="1:10">
      <c r="A66" s="63">
        <f t="shared" si="0"/>
        <v>54</v>
      </c>
      <c r="B66" s="179">
        <v>8560</v>
      </c>
      <c r="C66" s="180" t="s">
        <v>133</v>
      </c>
      <c r="D66" s="167">
        <f>'C.2.2-F 09'!P63</f>
        <v>307841.17609223054</v>
      </c>
      <c r="E66" s="178"/>
      <c r="J66" s="177"/>
    </row>
    <row r="67" spans="1:10">
      <c r="A67" s="63">
        <f t="shared" si="0"/>
        <v>55</v>
      </c>
      <c r="B67" s="179">
        <v>8570</v>
      </c>
      <c r="C67" s="180" t="s">
        <v>134</v>
      </c>
      <c r="D67" s="167">
        <f>'C.2.2-F 09'!P64</f>
        <v>33551.585374407099</v>
      </c>
      <c r="E67" s="178"/>
      <c r="J67" s="177"/>
    </row>
    <row r="68" spans="1:10">
      <c r="A68" s="63">
        <f t="shared" si="0"/>
        <v>56</v>
      </c>
      <c r="B68" s="179">
        <v>8590</v>
      </c>
      <c r="C68" s="180" t="s">
        <v>135</v>
      </c>
      <c r="D68" s="178">
        <v>0</v>
      </c>
      <c r="E68" s="178"/>
    </row>
    <row r="69" spans="1:10">
      <c r="A69" s="63">
        <f t="shared" si="0"/>
        <v>57</v>
      </c>
      <c r="B69" s="179">
        <v>8600</v>
      </c>
      <c r="C69" s="180" t="s">
        <v>136</v>
      </c>
      <c r="D69" s="182">
        <v>0</v>
      </c>
      <c r="E69" s="178"/>
    </row>
    <row r="70" spans="1:10">
      <c r="A70" s="63">
        <f t="shared" si="0"/>
        <v>58</v>
      </c>
      <c r="B70" s="4"/>
      <c r="C70" s="80" t="s">
        <v>137</v>
      </c>
      <c r="D70" s="25">
        <f>SUM(D63:D69)</f>
        <v>341443.00565142342</v>
      </c>
      <c r="E70" s="25"/>
      <c r="F70" s="79"/>
      <c r="G70" s="168"/>
    </row>
    <row r="71" spans="1:10">
      <c r="A71" s="63">
        <f t="shared" si="0"/>
        <v>59</v>
      </c>
      <c r="B71" s="4"/>
      <c r="C71" s="11"/>
      <c r="D71" s="32"/>
      <c r="E71" s="32"/>
    </row>
    <row r="72" spans="1:10">
      <c r="A72" s="63">
        <f t="shared" si="0"/>
        <v>60</v>
      </c>
      <c r="B72" s="4"/>
      <c r="C72" s="174" t="s">
        <v>138</v>
      </c>
      <c r="D72" s="32"/>
      <c r="E72" s="32"/>
    </row>
    <row r="73" spans="1:10">
      <c r="A73" s="63">
        <f t="shared" si="0"/>
        <v>61</v>
      </c>
      <c r="B73" s="179">
        <v>8620</v>
      </c>
      <c r="C73" s="180" t="s">
        <v>139</v>
      </c>
      <c r="D73" s="166">
        <v>0</v>
      </c>
      <c r="E73" s="166"/>
    </row>
    <row r="74" spans="1:10">
      <c r="A74" s="63">
        <f t="shared" si="0"/>
        <v>62</v>
      </c>
      <c r="B74" s="179">
        <v>8630</v>
      </c>
      <c r="C74" s="180" t="s">
        <v>140</v>
      </c>
      <c r="D74" s="167">
        <f>'C.2.2-F 09'!P65</f>
        <v>5909.9643315109106</v>
      </c>
      <c r="E74" s="178"/>
      <c r="J74" s="177"/>
    </row>
    <row r="75" spans="1:10">
      <c r="A75" s="63">
        <f t="shared" si="0"/>
        <v>63</v>
      </c>
      <c r="B75" s="179">
        <v>8640</v>
      </c>
      <c r="C75" s="180" t="s">
        <v>141</v>
      </c>
      <c r="D75" s="167">
        <f>'C.2.2-F 09'!P66</f>
        <v>0</v>
      </c>
      <c r="E75" s="178"/>
    </row>
    <row r="76" spans="1:10">
      <c r="A76" s="63">
        <f t="shared" si="0"/>
        <v>64</v>
      </c>
      <c r="B76" s="179">
        <v>8650</v>
      </c>
      <c r="C76" s="180" t="s">
        <v>142</v>
      </c>
      <c r="D76" s="167">
        <f>'C.2.2-F 09'!P67</f>
        <v>5801.7154221800774</v>
      </c>
      <c r="E76" s="178"/>
      <c r="J76" s="177"/>
    </row>
    <row r="77" spans="1:10">
      <c r="A77" s="63">
        <f t="shared" si="0"/>
        <v>65</v>
      </c>
      <c r="B77" s="179">
        <v>8670</v>
      </c>
      <c r="C77" s="180" t="s">
        <v>143</v>
      </c>
      <c r="D77" s="167">
        <v>0</v>
      </c>
      <c r="E77" s="178"/>
      <c r="J77" s="177"/>
    </row>
    <row r="78" spans="1:10">
      <c r="A78" s="63">
        <f t="shared" si="0"/>
        <v>66</v>
      </c>
      <c r="B78" s="4"/>
      <c r="C78" s="80" t="s">
        <v>144</v>
      </c>
      <c r="D78" s="172">
        <f>SUM(D73:D77)</f>
        <v>11711.679753690987</v>
      </c>
      <c r="E78" s="25"/>
      <c r="F78" s="79"/>
      <c r="G78" s="168"/>
    </row>
    <row r="79" spans="1:10">
      <c r="A79" s="63">
        <f t="shared" ref="A79:A142" si="1">A78+1</f>
        <v>67</v>
      </c>
      <c r="B79" s="4"/>
      <c r="C79" s="11"/>
      <c r="D79" s="32"/>
      <c r="E79" s="32"/>
    </row>
    <row r="80" spans="1:10">
      <c r="A80" s="63">
        <f t="shared" si="1"/>
        <v>68</v>
      </c>
      <c r="B80" s="4"/>
      <c r="C80" s="174" t="s">
        <v>145</v>
      </c>
      <c r="D80" s="73"/>
      <c r="E80" s="73"/>
    </row>
    <row r="81" spans="1:6">
      <c r="A81" s="63">
        <f t="shared" si="1"/>
        <v>69</v>
      </c>
      <c r="B81" s="117">
        <v>8001</v>
      </c>
      <c r="C81" s="118" t="s">
        <v>146</v>
      </c>
      <c r="D81" s="166">
        <f>'C.2.2-F 09'!P31</f>
        <v>1309084.3388093805</v>
      </c>
      <c r="E81" s="166"/>
    </row>
    <row r="82" spans="1:6">
      <c r="A82" s="63">
        <f t="shared" si="1"/>
        <v>70</v>
      </c>
      <c r="B82" s="117">
        <v>8010</v>
      </c>
      <c r="C82" s="145" t="s">
        <v>147</v>
      </c>
      <c r="D82" s="178">
        <f>'C.2.2-F 09'!P32</f>
        <v>81989.854458805363</v>
      </c>
      <c r="E82" s="166"/>
    </row>
    <row r="83" spans="1:6">
      <c r="A83" s="63">
        <f t="shared" si="1"/>
        <v>71</v>
      </c>
      <c r="B83" s="164">
        <v>8040</v>
      </c>
      <c r="C83" s="57" t="s">
        <v>148</v>
      </c>
      <c r="D83" s="178">
        <f>'C.2.2-F 09'!P33</f>
        <v>54630685.565620363</v>
      </c>
      <c r="E83" s="178"/>
      <c r="F83" s="178"/>
    </row>
    <row r="84" spans="1:6">
      <c r="A84" s="63">
        <f t="shared" si="1"/>
        <v>72</v>
      </c>
      <c r="B84" s="164">
        <v>8045</v>
      </c>
      <c r="C84" s="57" t="s">
        <v>149</v>
      </c>
      <c r="D84" s="178">
        <v>0</v>
      </c>
      <c r="E84" s="178"/>
      <c r="F84" s="178"/>
    </row>
    <row r="85" spans="1:6">
      <c r="A85" s="63">
        <f t="shared" si="1"/>
        <v>73</v>
      </c>
      <c r="B85" s="117">
        <v>8050</v>
      </c>
      <c r="C85" s="118" t="s">
        <v>150</v>
      </c>
      <c r="D85" s="178">
        <f>'C.2.2-F 09'!P34</f>
        <v>16638.113422500668</v>
      </c>
      <c r="E85" s="178"/>
      <c r="F85" s="178"/>
    </row>
    <row r="86" spans="1:6">
      <c r="A86" s="63">
        <f t="shared" si="1"/>
        <v>74</v>
      </c>
      <c r="B86" s="164">
        <v>8051</v>
      </c>
      <c r="C86" s="57" t="s">
        <v>151</v>
      </c>
      <c r="D86" s="178">
        <f>'C.2.2-F 09'!P35</f>
        <v>50026638.460275397</v>
      </c>
      <c r="E86" s="178"/>
      <c r="F86" s="178"/>
    </row>
    <row r="87" spans="1:6">
      <c r="A87" s="63">
        <f t="shared" si="1"/>
        <v>75</v>
      </c>
      <c r="B87" s="164">
        <v>8052</v>
      </c>
      <c r="C87" s="57" t="s">
        <v>152</v>
      </c>
      <c r="D87" s="178">
        <f>'C.2.2-F 09'!P36</f>
        <v>24814110.4430135</v>
      </c>
      <c r="E87" s="178"/>
      <c r="F87" s="178"/>
    </row>
    <row r="88" spans="1:6">
      <c r="A88" s="63">
        <f t="shared" si="1"/>
        <v>76</v>
      </c>
      <c r="B88" s="164">
        <v>8053</v>
      </c>
      <c r="C88" s="57" t="s">
        <v>153</v>
      </c>
      <c r="D88" s="178">
        <f>'C.2.2-F 09'!P37</f>
        <v>4715343.3058455419</v>
      </c>
      <c r="E88" s="178"/>
      <c r="F88" s="178"/>
    </row>
    <row r="89" spans="1:6">
      <c r="A89" s="63">
        <f t="shared" si="1"/>
        <v>77</v>
      </c>
      <c r="B89" s="164">
        <v>8054</v>
      </c>
      <c r="C89" s="57" t="s">
        <v>154</v>
      </c>
      <c r="D89" s="178">
        <f>'C.2.2-F 09'!P38</f>
        <v>5349099.1036434416</v>
      </c>
      <c r="E89" s="178"/>
      <c r="F89" s="178"/>
    </row>
    <row r="90" spans="1:6">
      <c r="A90" s="63">
        <f t="shared" si="1"/>
        <v>78</v>
      </c>
      <c r="B90" s="164">
        <v>8057</v>
      </c>
      <c r="C90" s="57" t="s">
        <v>155</v>
      </c>
      <c r="D90" s="178">
        <v>0</v>
      </c>
      <c r="E90" s="178"/>
      <c r="F90" s="178"/>
    </row>
    <row r="91" spans="1:6">
      <c r="A91" s="63">
        <f t="shared" si="1"/>
        <v>79</v>
      </c>
      <c r="B91" s="164">
        <v>8058</v>
      </c>
      <c r="C91" s="57" t="s">
        <v>156</v>
      </c>
      <c r="D91" s="178">
        <f>'C.2.2-F 09'!P39</f>
        <v>-5516158.570744819</v>
      </c>
      <c r="E91" s="178"/>
      <c r="F91" s="178"/>
    </row>
    <row r="92" spans="1:6">
      <c r="A92" s="63">
        <f t="shared" si="1"/>
        <v>80</v>
      </c>
      <c r="B92" s="164">
        <v>8059</v>
      </c>
      <c r="C92" s="57" t="s">
        <v>157</v>
      </c>
      <c r="D92" s="178">
        <f>'C.2.2-F 09'!P40</f>
        <v>-80142158.203396305</v>
      </c>
      <c r="E92" s="178"/>
      <c r="F92" s="178"/>
    </row>
    <row r="93" spans="1:6">
      <c r="A93" s="63">
        <f t="shared" si="1"/>
        <v>81</v>
      </c>
      <c r="B93" s="164">
        <v>8060</v>
      </c>
      <c r="C93" s="57" t="s">
        <v>158</v>
      </c>
      <c r="D93" s="178">
        <f>'C.2.2-F 09'!P41</f>
        <v>-1334672.4285446138</v>
      </c>
      <c r="E93" s="178"/>
      <c r="F93" s="178"/>
    </row>
    <row r="94" spans="1:6">
      <c r="A94" s="63">
        <f t="shared" si="1"/>
        <v>82</v>
      </c>
      <c r="B94" s="164">
        <v>8081</v>
      </c>
      <c r="C94" s="57" t="s">
        <v>159</v>
      </c>
      <c r="D94" s="178">
        <f>'C.2.2-F 09'!P42</f>
        <v>20002882.697330352</v>
      </c>
      <c r="E94" s="178"/>
      <c r="F94" s="178"/>
    </row>
    <row r="95" spans="1:6">
      <c r="A95" s="63">
        <f t="shared" si="1"/>
        <v>83</v>
      </c>
      <c r="B95" s="164">
        <v>8082</v>
      </c>
      <c r="C95" s="57" t="s">
        <v>160</v>
      </c>
      <c r="D95" s="178">
        <f>'C.2.2-F 09'!P43</f>
        <v>-16514585.049590139</v>
      </c>
      <c r="E95" s="178"/>
      <c r="F95" s="178"/>
    </row>
    <row r="96" spans="1:6">
      <c r="A96" s="63">
        <f t="shared" si="1"/>
        <v>84</v>
      </c>
      <c r="B96" s="117">
        <v>8110</v>
      </c>
      <c r="C96" s="111" t="s">
        <v>161</v>
      </c>
      <c r="D96" s="178">
        <v>0</v>
      </c>
      <c r="E96" s="178"/>
      <c r="F96" s="178"/>
    </row>
    <row r="97" spans="1:10">
      <c r="A97" s="63">
        <f t="shared" si="1"/>
        <v>85</v>
      </c>
      <c r="B97" s="164">
        <v>8120</v>
      </c>
      <c r="C97" s="57" t="s">
        <v>162</v>
      </c>
      <c r="D97" s="178">
        <f>'C.2.2-F 09'!P44</f>
        <v>-10856.051578414428</v>
      </c>
      <c r="E97" s="178"/>
      <c r="F97" s="178"/>
    </row>
    <row r="98" spans="1:10">
      <c r="A98" s="63">
        <f t="shared" si="1"/>
        <v>86</v>
      </c>
      <c r="B98" s="164">
        <v>8130</v>
      </c>
      <c r="C98" s="57" t="s">
        <v>229</v>
      </c>
      <c r="D98" s="178">
        <v>0</v>
      </c>
      <c r="E98" s="178"/>
      <c r="F98" s="178"/>
    </row>
    <row r="99" spans="1:10">
      <c r="A99" s="63">
        <f t="shared" si="1"/>
        <v>87</v>
      </c>
      <c r="B99" s="117">
        <v>8580</v>
      </c>
      <c r="C99" s="111" t="s">
        <v>163</v>
      </c>
      <c r="D99" s="178">
        <f>'C.2.2-F 09'!P45</f>
        <v>21950135.111889657</v>
      </c>
      <c r="E99" s="178"/>
    </row>
    <row r="100" spans="1:10">
      <c r="A100" s="63">
        <f t="shared" si="1"/>
        <v>88</v>
      </c>
      <c r="B100" s="4"/>
      <c r="C100" s="183" t="s">
        <v>164</v>
      </c>
      <c r="D100" s="172">
        <f>SUM(D81:D99)</f>
        <v>79378176.690454662</v>
      </c>
      <c r="E100" s="25"/>
      <c r="F100" s="79"/>
      <c r="G100" s="168"/>
    </row>
    <row r="101" spans="1:10">
      <c r="A101" s="63">
        <f t="shared" si="1"/>
        <v>89</v>
      </c>
      <c r="B101" s="4"/>
      <c r="D101" s="5"/>
      <c r="E101" s="5"/>
    </row>
    <row r="102" spans="1:10">
      <c r="A102" s="63">
        <f t="shared" si="1"/>
        <v>90</v>
      </c>
      <c r="B102" s="4"/>
      <c r="C102" s="174" t="s">
        <v>165</v>
      </c>
      <c r="D102" s="5"/>
      <c r="E102" s="5"/>
    </row>
    <row r="103" spans="1:10">
      <c r="A103" s="63">
        <f t="shared" si="1"/>
        <v>91</v>
      </c>
      <c r="B103" s="164">
        <v>8700</v>
      </c>
      <c r="C103" s="165" t="s">
        <v>166</v>
      </c>
      <c r="D103" s="166">
        <f>'C.2.2-F 09'!P68</f>
        <v>1066339.993609379</v>
      </c>
      <c r="E103" s="166"/>
      <c r="J103" s="177"/>
    </row>
    <row r="104" spans="1:10">
      <c r="A104" s="63">
        <f t="shared" si="1"/>
        <v>92</v>
      </c>
      <c r="B104" s="164">
        <v>8710</v>
      </c>
      <c r="C104" s="165" t="s">
        <v>167</v>
      </c>
      <c r="D104" s="178">
        <f>'C.2.2-F 09'!P69</f>
        <v>1775.3449244682231</v>
      </c>
      <c r="E104" s="178"/>
      <c r="J104" s="177"/>
    </row>
    <row r="105" spans="1:10">
      <c r="A105" s="63">
        <f t="shared" si="1"/>
        <v>93</v>
      </c>
      <c r="B105" s="164">
        <v>8711</v>
      </c>
      <c r="C105" s="57" t="s">
        <v>168</v>
      </c>
      <c r="D105" s="178">
        <f>'C.2.2-F 09'!P70</f>
        <v>9754.2475563403532</v>
      </c>
      <c r="E105" s="178"/>
      <c r="J105" s="177"/>
    </row>
    <row r="106" spans="1:10">
      <c r="A106" s="63">
        <f t="shared" si="1"/>
        <v>94</v>
      </c>
      <c r="B106" s="164">
        <v>8720</v>
      </c>
      <c r="C106" s="165" t="s">
        <v>169</v>
      </c>
      <c r="D106" s="178">
        <f>'C.2.2-F 09'!P71</f>
        <v>0</v>
      </c>
      <c r="E106" s="178"/>
    </row>
    <row r="107" spans="1:10">
      <c r="A107" s="63">
        <f t="shared" si="1"/>
        <v>95</v>
      </c>
      <c r="B107" s="164">
        <v>8740</v>
      </c>
      <c r="C107" s="165" t="s">
        <v>170</v>
      </c>
      <c r="D107" s="178">
        <f>'C.2.2-F 09'!P72</f>
        <v>3653349.5677708811</v>
      </c>
      <c r="E107" s="178"/>
      <c r="J107" s="177"/>
    </row>
    <row r="108" spans="1:10">
      <c r="A108" s="63">
        <f t="shared" si="1"/>
        <v>96</v>
      </c>
      <c r="B108" s="164">
        <v>8750</v>
      </c>
      <c r="C108" s="165" t="s">
        <v>171</v>
      </c>
      <c r="D108" s="178">
        <f>'C.2.2-F 09'!P73</f>
        <v>393588.37119690882</v>
      </c>
      <c r="E108" s="178"/>
      <c r="J108" s="177"/>
    </row>
    <row r="109" spans="1:10">
      <c r="A109" s="63">
        <f t="shared" si="1"/>
        <v>97</v>
      </c>
      <c r="B109" s="164">
        <v>8760</v>
      </c>
      <c r="C109" s="165" t="s">
        <v>172</v>
      </c>
      <c r="D109" s="178">
        <f>'C.2.2-F 09'!P74</f>
        <v>32536.462809747987</v>
      </c>
      <c r="E109" s="178"/>
      <c r="J109" s="177"/>
    </row>
    <row r="110" spans="1:10">
      <c r="A110" s="63">
        <f t="shared" si="1"/>
        <v>98</v>
      </c>
      <c r="B110" s="164">
        <v>8770</v>
      </c>
      <c r="C110" s="165" t="s">
        <v>173</v>
      </c>
      <c r="D110" s="178">
        <f>'C.2.2-F 09'!P75</f>
        <v>114995.55931441962</v>
      </c>
      <c r="E110" s="178"/>
      <c r="J110" s="177"/>
    </row>
    <row r="111" spans="1:10">
      <c r="A111" s="63">
        <f t="shared" si="1"/>
        <v>99</v>
      </c>
      <c r="B111" s="164">
        <v>8780</v>
      </c>
      <c r="C111" s="165" t="s">
        <v>174</v>
      </c>
      <c r="D111" s="178">
        <f>'C.2.2-F 09'!P76</f>
        <v>884899.99392058305</v>
      </c>
      <c r="E111" s="178"/>
      <c r="J111" s="177"/>
    </row>
    <row r="112" spans="1:10">
      <c r="A112" s="63">
        <f t="shared" si="1"/>
        <v>100</v>
      </c>
      <c r="B112" s="164">
        <v>8790</v>
      </c>
      <c r="C112" s="165" t="s">
        <v>175</v>
      </c>
      <c r="D112" s="178">
        <f>'C.2.2-F 09'!P77</f>
        <v>688.93579609909511</v>
      </c>
      <c r="E112" s="178"/>
      <c r="J112" s="177"/>
    </row>
    <row r="113" spans="1:10">
      <c r="A113" s="63">
        <f t="shared" si="1"/>
        <v>101</v>
      </c>
      <c r="B113" s="164">
        <v>8800</v>
      </c>
      <c r="C113" s="165" t="s">
        <v>176</v>
      </c>
      <c r="D113" s="178">
        <f>'C.2.2-F 09'!P78</f>
        <v>207678.38801365125</v>
      </c>
      <c r="E113" s="178"/>
      <c r="J113" s="177"/>
    </row>
    <row r="114" spans="1:10">
      <c r="A114" s="63">
        <f t="shared" si="1"/>
        <v>102</v>
      </c>
      <c r="B114" s="164">
        <v>8810</v>
      </c>
      <c r="C114" s="165" t="s">
        <v>136</v>
      </c>
      <c r="D114" s="178">
        <f>'C.2.2-F 09'!P79</f>
        <v>404666.9380969255</v>
      </c>
      <c r="E114" s="178"/>
      <c r="J114" s="177"/>
    </row>
    <row r="115" spans="1:10">
      <c r="A115" s="63">
        <f t="shared" si="1"/>
        <v>103</v>
      </c>
      <c r="B115" s="4"/>
      <c r="C115" s="80" t="s">
        <v>177</v>
      </c>
      <c r="D115" s="172">
        <f>SUM(D103:D114)</f>
        <v>6770273.8030094048</v>
      </c>
      <c r="E115" s="25"/>
      <c r="F115" s="79"/>
      <c r="G115" s="168"/>
    </row>
    <row r="116" spans="1:10">
      <c r="A116" s="63">
        <f t="shared" si="1"/>
        <v>104</v>
      </c>
      <c r="B116" s="4"/>
      <c r="D116" s="5"/>
      <c r="E116" s="5"/>
    </row>
    <row r="117" spans="1:10">
      <c r="A117" s="63">
        <f t="shared" si="1"/>
        <v>105</v>
      </c>
      <c r="B117" s="63"/>
      <c r="C117" s="174" t="s">
        <v>178</v>
      </c>
      <c r="D117" s="73"/>
      <c r="E117" s="73"/>
    </row>
    <row r="118" spans="1:10">
      <c r="A118" s="63">
        <f t="shared" si="1"/>
        <v>106</v>
      </c>
      <c r="B118" s="164">
        <v>8850</v>
      </c>
      <c r="C118" s="165" t="s">
        <v>166</v>
      </c>
      <c r="D118" s="166">
        <f>'C.2.2-F 09'!P80</f>
        <v>2199.7257032294769</v>
      </c>
      <c r="E118" s="166"/>
      <c r="H118" s="177"/>
      <c r="J118" s="177"/>
    </row>
    <row r="119" spans="1:10">
      <c r="A119" s="63">
        <f t="shared" si="1"/>
        <v>107</v>
      </c>
      <c r="B119" s="164">
        <v>8860</v>
      </c>
      <c r="C119" s="165" t="s">
        <v>139</v>
      </c>
      <c r="D119" s="178">
        <f>'C.2.2-F 09'!P81</f>
        <v>21233.988737328007</v>
      </c>
      <c r="E119" s="178"/>
      <c r="H119" s="177"/>
      <c r="J119" s="177"/>
    </row>
    <row r="120" spans="1:10">
      <c r="A120" s="63">
        <f t="shared" si="1"/>
        <v>108</v>
      </c>
      <c r="B120" s="164">
        <v>8870</v>
      </c>
      <c r="C120" s="165" t="s">
        <v>140</v>
      </c>
      <c r="D120" s="178">
        <f>'C.2.2-F 09'!P82</f>
        <v>42537.548027511199</v>
      </c>
      <c r="E120" s="178"/>
      <c r="H120" s="177"/>
      <c r="J120" s="177"/>
    </row>
    <row r="121" spans="1:10">
      <c r="A121" s="63">
        <f t="shared" si="1"/>
        <v>109</v>
      </c>
      <c r="B121" s="164">
        <v>8890</v>
      </c>
      <c r="C121" s="165" t="s">
        <v>171</v>
      </c>
      <c r="D121" s="178">
        <f>'C.2.2-F 09'!P83</f>
        <v>6135.2406713397404</v>
      </c>
      <c r="E121" s="178"/>
      <c r="H121" s="177"/>
      <c r="J121" s="177"/>
    </row>
    <row r="122" spans="1:10">
      <c r="A122" s="63">
        <f t="shared" si="1"/>
        <v>110</v>
      </c>
      <c r="B122" s="164">
        <v>8900</v>
      </c>
      <c r="C122" s="165" t="s">
        <v>172</v>
      </c>
      <c r="D122" s="178">
        <f>'C.2.2-F 09'!P84</f>
        <v>9732.5747097342755</v>
      </c>
      <c r="E122" s="178"/>
      <c r="H122" s="177"/>
      <c r="J122" s="177"/>
    </row>
    <row r="123" spans="1:10">
      <c r="A123" s="63">
        <f t="shared" si="1"/>
        <v>111</v>
      </c>
      <c r="B123" s="164">
        <v>8910</v>
      </c>
      <c r="C123" s="165" t="s">
        <v>173</v>
      </c>
      <c r="D123" s="178">
        <f>'C.2.2-F 09'!P85</f>
        <v>23795.426438791441</v>
      </c>
      <c r="E123" s="178"/>
      <c r="H123" s="177"/>
      <c r="J123" s="177"/>
    </row>
    <row r="124" spans="1:10">
      <c r="A124" s="63">
        <f t="shared" si="1"/>
        <v>112</v>
      </c>
      <c r="B124" s="164">
        <v>8920</v>
      </c>
      <c r="C124" s="165" t="s">
        <v>179</v>
      </c>
      <c r="D124" s="178">
        <f>'C.2.2-F 09'!P86</f>
        <v>3522.4239533994196</v>
      </c>
      <c r="E124" s="178"/>
      <c r="H124" s="177"/>
      <c r="J124" s="177"/>
    </row>
    <row r="125" spans="1:10">
      <c r="A125" s="63">
        <f t="shared" si="1"/>
        <v>113</v>
      </c>
      <c r="B125" s="164">
        <v>8930</v>
      </c>
      <c r="C125" s="165" t="s">
        <v>180</v>
      </c>
      <c r="D125" s="178">
        <f>'C.2.2-F 09'!P87</f>
        <v>105291.66026953013</v>
      </c>
      <c r="E125" s="178"/>
      <c r="H125" s="177"/>
      <c r="J125" s="177"/>
    </row>
    <row r="126" spans="1:10">
      <c r="A126" s="63">
        <f t="shared" si="1"/>
        <v>114</v>
      </c>
      <c r="B126" s="164">
        <v>8940</v>
      </c>
      <c r="C126" s="165" t="s">
        <v>143</v>
      </c>
      <c r="D126" s="178">
        <f>'C.2.2-F 09'!P88</f>
        <v>69008.521048641822</v>
      </c>
      <c r="E126" s="178"/>
      <c r="H126" s="177"/>
      <c r="J126" s="177"/>
    </row>
    <row r="127" spans="1:10">
      <c r="A127" s="63">
        <f t="shared" si="1"/>
        <v>115</v>
      </c>
      <c r="B127" s="184" t="s">
        <v>230</v>
      </c>
      <c r="C127" s="165" t="s">
        <v>181</v>
      </c>
      <c r="D127" s="182">
        <v>0</v>
      </c>
      <c r="E127" s="178"/>
      <c r="H127" s="177"/>
    </row>
    <row r="128" spans="1:10">
      <c r="A128" s="63">
        <f t="shared" si="1"/>
        <v>116</v>
      </c>
      <c r="B128" s="4"/>
      <c r="C128" s="80" t="s">
        <v>182</v>
      </c>
      <c r="D128" s="25">
        <f>SUM(D118:D127)</f>
        <v>283457.10955950548</v>
      </c>
      <c r="E128" s="25"/>
      <c r="F128" s="79"/>
      <c r="G128" s="168"/>
    </row>
    <row r="129" spans="1:10">
      <c r="A129" s="63">
        <f t="shared" si="1"/>
        <v>117</v>
      </c>
      <c r="B129" s="4"/>
      <c r="C129" s="80"/>
      <c r="D129" s="32"/>
      <c r="E129" s="32"/>
    </row>
    <row r="130" spans="1:10">
      <c r="A130" s="63">
        <f t="shared" si="1"/>
        <v>118</v>
      </c>
      <c r="B130" s="63"/>
      <c r="C130" s="174" t="s">
        <v>183</v>
      </c>
      <c r="D130" s="73"/>
      <c r="E130" s="73"/>
    </row>
    <row r="131" spans="1:10">
      <c r="A131" s="63">
        <f t="shared" si="1"/>
        <v>119</v>
      </c>
      <c r="B131" s="164">
        <v>9010</v>
      </c>
      <c r="C131" s="165" t="s">
        <v>184</v>
      </c>
      <c r="D131" s="166">
        <v>0</v>
      </c>
      <c r="E131" s="166"/>
      <c r="H131" s="177"/>
      <c r="J131" s="177"/>
    </row>
    <row r="132" spans="1:10">
      <c r="A132" s="63">
        <f t="shared" si="1"/>
        <v>120</v>
      </c>
      <c r="B132" s="164">
        <v>9020</v>
      </c>
      <c r="C132" s="165" t="s">
        <v>185</v>
      </c>
      <c r="D132" s="178">
        <f>'C.2.2-F 09'!P89</f>
        <v>1130015.49593935</v>
      </c>
      <c r="E132" s="178"/>
      <c r="H132" s="177"/>
      <c r="J132" s="177"/>
    </row>
    <row r="133" spans="1:10">
      <c r="A133" s="63">
        <f t="shared" si="1"/>
        <v>121</v>
      </c>
      <c r="B133" s="164">
        <v>9030</v>
      </c>
      <c r="C133" s="165" t="s">
        <v>186</v>
      </c>
      <c r="D133" s="178">
        <f>'C.2.2-F 09'!P90</f>
        <v>377023.73491864966</v>
      </c>
      <c r="E133" s="178"/>
      <c r="H133" s="177"/>
      <c r="J133" s="177"/>
    </row>
    <row r="134" spans="1:10">
      <c r="A134" s="63">
        <f t="shared" si="1"/>
        <v>122</v>
      </c>
      <c r="B134" s="164">
        <v>9040</v>
      </c>
      <c r="C134" s="165" t="s">
        <v>187</v>
      </c>
      <c r="D134" s="178">
        <f>'C.2.2-F 09'!P91</f>
        <v>313426.18041533593</v>
      </c>
      <c r="E134" s="178"/>
      <c r="H134" s="177"/>
      <c r="J134" s="177"/>
    </row>
    <row r="135" spans="1:10">
      <c r="A135" s="63">
        <f t="shared" si="1"/>
        <v>123</v>
      </c>
      <c r="B135" s="63"/>
      <c r="C135" s="80" t="s">
        <v>188</v>
      </c>
      <c r="D135" s="172">
        <f>SUM(D131:D134)</f>
        <v>1820465.4112733356</v>
      </c>
      <c r="E135" s="25"/>
      <c r="F135" s="79"/>
      <c r="G135" s="168"/>
      <c r="H135" s="177"/>
    </row>
    <row r="136" spans="1:10">
      <c r="A136" s="63">
        <f t="shared" si="1"/>
        <v>124</v>
      </c>
      <c r="B136" s="4"/>
      <c r="D136" s="5"/>
      <c r="E136" s="5"/>
    </row>
    <row r="137" spans="1:10">
      <c r="A137" s="63">
        <f t="shared" si="1"/>
        <v>125</v>
      </c>
      <c r="B137" s="4"/>
      <c r="C137" s="174" t="s">
        <v>189</v>
      </c>
      <c r="D137" s="5"/>
      <c r="E137" s="5"/>
    </row>
    <row r="138" spans="1:10">
      <c r="A138" s="63">
        <f t="shared" si="1"/>
        <v>126</v>
      </c>
      <c r="B138" s="164">
        <v>9070</v>
      </c>
      <c r="C138" s="165" t="s">
        <v>184</v>
      </c>
      <c r="D138" s="166">
        <v>0</v>
      </c>
      <c r="E138" s="166"/>
      <c r="H138" s="177"/>
      <c r="J138" s="177"/>
    </row>
    <row r="139" spans="1:10">
      <c r="A139" s="63">
        <f t="shared" si="1"/>
        <v>127</v>
      </c>
      <c r="B139" s="164">
        <v>9080</v>
      </c>
      <c r="C139" s="165" t="s">
        <v>190</v>
      </c>
      <c r="D139" s="178">
        <v>0</v>
      </c>
      <c r="E139" s="178"/>
      <c r="H139" s="177"/>
      <c r="J139" s="177"/>
    </row>
    <row r="140" spans="1:10">
      <c r="A140" s="63">
        <f t="shared" si="1"/>
        <v>128</v>
      </c>
      <c r="B140" s="164">
        <v>9090</v>
      </c>
      <c r="C140" s="165" t="s">
        <v>191</v>
      </c>
      <c r="D140" s="178">
        <f>'C.2.2-F 09'!P92</f>
        <v>122977.93644900681</v>
      </c>
      <c r="E140" s="178"/>
      <c r="H140" s="177"/>
      <c r="J140" s="177"/>
    </row>
    <row r="141" spans="1:10">
      <c r="A141" s="63">
        <f t="shared" si="1"/>
        <v>129</v>
      </c>
      <c r="B141" s="164">
        <v>9100</v>
      </c>
      <c r="C141" s="165" t="s">
        <v>192</v>
      </c>
      <c r="D141" s="178">
        <f>'C.2.2-F 09'!P93</f>
        <v>178.69074769292916</v>
      </c>
      <c r="E141" s="178"/>
      <c r="H141" s="177"/>
      <c r="J141" s="177"/>
    </row>
    <row r="142" spans="1:10">
      <c r="A142" s="63">
        <f t="shared" si="1"/>
        <v>130</v>
      </c>
      <c r="B142" s="63"/>
      <c r="C142" s="80" t="s">
        <v>193</v>
      </c>
      <c r="D142" s="172">
        <f>SUM(D138:D141)</f>
        <v>123156.62719669974</v>
      </c>
      <c r="E142" s="25"/>
      <c r="F142" s="79"/>
      <c r="G142" s="168"/>
    </row>
    <row r="143" spans="1:10">
      <c r="A143" s="63">
        <f t="shared" ref="A143:A177" si="2">A142+1</f>
        <v>131</v>
      </c>
      <c r="B143" s="63"/>
      <c r="C143" s="80"/>
      <c r="D143" s="32"/>
      <c r="E143" s="32"/>
    </row>
    <row r="144" spans="1:10">
      <c r="A144" s="63">
        <f t="shared" si="2"/>
        <v>132</v>
      </c>
      <c r="B144" s="63"/>
      <c r="C144" s="174" t="s">
        <v>66</v>
      </c>
      <c r="D144" s="73"/>
      <c r="E144" s="73"/>
    </row>
    <row r="145" spans="1:10">
      <c r="A145" s="63">
        <f t="shared" si="2"/>
        <v>133</v>
      </c>
      <c r="B145" s="164">
        <v>9110</v>
      </c>
      <c r="C145" s="165" t="s">
        <v>184</v>
      </c>
      <c r="D145" s="166">
        <f>'C.2.2-F 09'!P94</f>
        <v>252261.0435620413</v>
      </c>
      <c r="E145" s="166"/>
      <c r="H145" s="177"/>
      <c r="J145" s="177"/>
    </row>
    <row r="146" spans="1:10">
      <c r="A146" s="63">
        <f t="shared" si="2"/>
        <v>134</v>
      </c>
      <c r="B146" s="164">
        <v>9120</v>
      </c>
      <c r="C146" s="165" t="s">
        <v>194</v>
      </c>
      <c r="D146" s="178">
        <f>'C.2.2-F 09'!P95</f>
        <v>54617.941221711779</v>
      </c>
      <c r="E146" s="178"/>
      <c r="H146" s="177"/>
      <c r="J146" s="177"/>
    </row>
    <row r="147" spans="1:10">
      <c r="A147" s="63">
        <f t="shared" si="2"/>
        <v>135</v>
      </c>
      <c r="B147" s="164">
        <v>9130</v>
      </c>
      <c r="C147" s="165" t="s">
        <v>195</v>
      </c>
      <c r="D147" s="178">
        <f>'C.2.2-F 09'!P96</f>
        <v>22473.830225135178</v>
      </c>
      <c r="E147" s="178"/>
      <c r="H147" s="177"/>
      <c r="J147" s="177"/>
    </row>
    <row r="148" spans="1:10">
      <c r="A148" s="63">
        <f t="shared" si="2"/>
        <v>136</v>
      </c>
      <c r="B148" s="164">
        <v>9160</v>
      </c>
      <c r="C148" s="165" t="s">
        <v>196</v>
      </c>
      <c r="D148" s="178">
        <v>0</v>
      </c>
      <c r="E148" s="178"/>
      <c r="H148" s="177"/>
      <c r="J148" s="177"/>
    </row>
    <row r="149" spans="1:10">
      <c r="A149" s="63">
        <f t="shared" si="2"/>
        <v>137</v>
      </c>
      <c r="B149" s="63"/>
      <c r="C149" s="80" t="s">
        <v>197</v>
      </c>
      <c r="D149" s="172">
        <f>SUM(D145:D148)</f>
        <v>329352.81500888825</v>
      </c>
      <c r="E149" s="25"/>
      <c r="F149" s="79"/>
      <c r="G149" s="168"/>
    </row>
    <row r="150" spans="1:10">
      <c r="A150" s="63">
        <f t="shared" si="2"/>
        <v>138</v>
      </c>
      <c r="B150" s="4"/>
      <c r="D150" s="73"/>
      <c r="E150" s="73"/>
    </row>
    <row r="151" spans="1:10">
      <c r="A151" s="63">
        <f t="shared" si="2"/>
        <v>139</v>
      </c>
      <c r="B151" s="63"/>
      <c r="C151" s="174" t="s">
        <v>198</v>
      </c>
      <c r="D151" s="73"/>
      <c r="E151" s="73"/>
      <c r="H151" s="177"/>
    </row>
    <row r="152" spans="1:10">
      <c r="A152" s="63">
        <f t="shared" si="2"/>
        <v>140</v>
      </c>
      <c r="B152" s="164">
        <v>9200</v>
      </c>
      <c r="C152" s="165" t="s">
        <v>199</v>
      </c>
      <c r="D152" s="25">
        <f>'C.2.2-F 09'!P97</f>
        <v>134043.94718883245</v>
      </c>
      <c r="E152" s="166"/>
      <c r="H152" s="177"/>
      <c r="J152" s="177"/>
    </row>
    <row r="153" spans="1:10">
      <c r="A153" s="63">
        <f t="shared" si="2"/>
        <v>141</v>
      </c>
      <c r="B153" s="164">
        <v>9210</v>
      </c>
      <c r="C153" s="165" t="s">
        <v>200</v>
      </c>
      <c r="D153" s="178">
        <f>'C.2.2-F 09'!P98</f>
        <v>6848.4123874449897</v>
      </c>
      <c r="E153" s="178"/>
      <c r="H153" s="177"/>
      <c r="J153" s="177"/>
    </row>
    <row r="154" spans="1:10">
      <c r="A154" s="63">
        <f t="shared" si="2"/>
        <v>142</v>
      </c>
      <c r="B154" s="164">
        <v>9220</v>
      </c>
      <c r="C154" s="165" t="s">
        <v>201</v>
      </c>
      <c r="D154" s="178">
        <f>'C.2.2-F 09'!P99</f>
        <v>14025277.326675855</v>
      </c>
      <c r="E154" s="178"/>
      <c r="H154" s="177"/>
      <c r="J154" s="177"/>
    </row>
    <row r="155" spans="1:10">
      <c r="A155" s="63">
        <f t="shared" si="2"/>
        <v>143</v>
      </c>
      <c r="B155" s="164">
        <v>9230</v>
      </c>
      <c r="C155" s="165" t="s">
        <v>202</v>
      </c>
      <c r="D155" s="178">
        <f>'C.2.2-F 09'!P100</f>
        <v>186924.24905357341</v>
      </c>
      <c r="E155" s="178"/>
      <c r="H155" s="177"/>
      <c r="J155" s="177"/>
    </row>
    <row r="156" spans="1:10">
      <c r="A156" s="63">
        <f t="shared" si="2"/>
        <v>144</v>
      </c>
      <c r="B156" s="164">
        <v>9240</v>
      </c>
      <c r="C156" s="165" t="s">
        <v>203</v>
      </c>
      <c r="D156" s="178">
        <f>'C.2.2-F 09'!P101</f>
        <v>8157.2829559719648</v>
      </c>
      <c r="E156" s="178"/>
      <c r="H156" s="177"/>
      <c r="J156" s="177"/>
    </row>
    <row r="157" spans="1:10">
      <c r="A157" s="63">
        <f t="shared" si="2"/>
        <v>145</v>
      </c>
      <c r="B157" s="164">
        <v>9250</v>
      </c>
      <c r="C157" s="165" t="s">
        <v>204</v>
      </c>
      <c r="D157" s="178">
        <f>'C.2.2-F 09'!P102</f>
        <v>214468.94200588667</v>
      </c>
      <c r="E157" s="178"/>
      <c r="H157" s="177"/>
      <c r="J157" s="177"/>
    </row>
    <row r="158" spans="1:10">
      <c r="A158" s="63">
        <f t="shared" si="2"/>
        <v>146</v>
      </c>
      <c r="B158" s="164">
        <v>9260</v>
      </c>
      <c r="C158" s="165" t="s">
        <v>205</v>
      </c>
      <c r="D158" s="178">
        <f>'C.2.2-F 09'!P103</f>
        <v>2187598.6752288421</v>
      </c>
      <c r="E158" s="178"/>
      <c r="H158" s="177"/>
      <c r="J158" s="177"/>
    </row>
    <row r="159" spans="1:10">
      <c r="A159" s="63">
        <f t="shared" si="2"/>
        <v>147</v>
      </c>
      <c r="B159" s="164">
        <v>9270</v>
      </c>
      <c r="C159" s="165" t="s">
        <v>206</v>
      </c>
      <c r="D159" s="178">
        <f>'C.2.2-F 09'!P104</f>
        <v>82.597628258568534</v>
      </c>
      <c r="E159" s="178"/>
      <c r="H159" s="177"/>
      <c r="J159" s="177"/>
    </row>
    <row r="160" spans="1:10">
      <c r="A160" s="63">
        <f t="shared" si="2"/>
        <v>148</v>
      </c>
      <c r="B160" s="164">
        <v>9280</v>
      </c>
      <c r="C160" s="165" t="s">
        <v>207</v>
      </c>
      <c r="D160" s="178">
        <f>'C.2.2-F 09'!P105</f>
        <v>11105.924436332165</v>
      </c>
      <c r="E160" s="178"/>
      <c r="H160" s="177"/>
      <c r="J160" s="177"/>
    </row>
    <row r="161" spans="1:10">
      <c r="A161" s="63">
        <f t="shared" si="2"/>
        <v>149</v>
      </c>
      <c r="B161" s="185">
        <v>930.2</v>
      </c>
      <c r="C161" s="165" t="s">
        <v>208</v>
      </c>
      <c r="D161" s="178">
        <f>'C.2.2-F 09'!P106</f>
        <v>30750.483234346058</v>
      </c>
      <c r="E161" s="178"/>
      <c r="H161" s="177"/>
      <c r="J161" s="177"/>
    </row>
    <row r="162" spans="1:10">
      <c r="A162" s="63">
        <f t="shared" si="2"/>
        <v>150</v>
      </c>
      <c r="B162" s="117">
        <v>9310</v>
      </c>
      <c r="C162" s="118" t="s">
        <v>209</v>
      </c>
      <c r="D162" s="178">
        <f>'C.2.2-F 09'!P107</f>
        <v>12399.327451230149</v>
      </c>
      <c r="E162" s="178"/>
      <c r="H162" s="177"/>
      <c r="J162" s="177"/>
    </row>
    <row r="163" spans="1:10">
      <c r="A163" s="63">
        <f t="shared" si="2"/>
        <v>151</v>
      </c>
      <c r="B163" s="63"/>
      <c r="C163" s="80" t="s">
        <v>210</v>
      </c>
      <c r="D163" s="172">
        <f>SUM(D152:D162)</f>
        <v>16817657.168246571</v>
      </c>
      <c r="E163" s="25"/>
      <c r="F163" s="79"/>
      <c r="G163" s="168"/>
    </row>
    <row r="164" spans="1:10">
      <c r="A164" s="63">
        <f t="shared" si="2"/>
        <v>152</v>
      </c>
      <c r="B164" s="63"/>
      <c r="C164" s="56"/>
      <c r="D164" s="73"/>
      <c r="E164" s="73"/>
      <c r="H164" s="177"/>
    </row>
    <row r="165" spans="1:10">
      <c r="A165" s="63">
        <f t="shared" si="2"/>
        <v>153</v>
      </c>
      <c r="B165" s="63"/>
      <c r="C165" s="174" t="s">
        <v>211</v>
      </c>
      <c r="D165" s="73"/>
      <c r="E165" s="73"/>
      <c r="H165" s="177"/>
    </row>
    <row r="166" spans="1:10">
      <c r="A166" s="63">
        <f t="shared" si="2"/>
        <v>154</v>
      </c>
      <c r="B166" s="164">
        <v>9320</v>
      </c>
      <c r="C166" s="165" t="s">
        <v>231</v>
      </c>
      <c r="D166" s="182">
        <f>'C.2.2-F 09'!P108</f>
        <v>1458.3517059555129</v>
      </c>
      <c r="E166" s="178"/>
      <c r="H166" s="177"/>
    </row>
    <row r="167" spans="1:10">
      <c r="A167" s="63">
        <f t="shared" si="2"/>
        <v>155</v>
      </c>
      <c r="B167" s="63"/>
      <c r="C167" s="80" t="s">
        <v>213</v>
      </c>
      <c r="D167" s="71">
        <f>SUM(D166:D166)</f>
        <v>1458.3517059555129</v>
      </c>
      <c r="E167" s="71"/>
      <c r="H167" s="177"/>
    </row>
    <row r="168" spans="1:10">
      <c r="A168" s="63">
        <f t="shared" si="2"/>
        <v>156</v>
      </c>
      <c r="B168" s="4"/>
      <c r="D168" s="5"/>
      <c r="E168" s="5"/>
      <c r="H168" s="177"/>
    </row>
    <row r="169" spans="1:10">
      <c r="A169" s="63">
        <f t="shared" si="2"/>
        <v>157</v>
      </c>
      <c r="B169" s="63"/>
      <c r="C169" s="162" t="s">
        <v>214</v>
      </c>
      <c r="D169" s="25">
        <f>+D34+D50+D60+D70+D78+D100+D115+D128+D135+D142+D149+D163+D167</f>
        <v>106229462.5189669</v>
      </c>
      <c r="E169" s="25"/>
      <c r="H169" s="177"/>
      <c r="I169" s="101"/>
    </row>
    <row r="170" spans="1:10">
      <c r="A170" s="63">
        <f t="shared" si="2"/>
        <v>158</v>
      </c>
      <c r="B170" s="4"/>
      <c r="D170" s="5"/>
      <c r="E170" s="5"/>
      <c r="H170" s="177"/>
    </row>
    <row r="171" spans="1:10">
      <c r="A171" s="63">
        <f t="shared" si="2"/>
        <v>159</v>
      </c>
      <c r="B171" s="63" t="s">
        <v>215</v>
      </c>
      <c r="C171" s="57" t="s">
        <v>216</v>
      </c>
      <c r="D171" s="166">
        <f>'C.2.2-F 09'!P14+'C.2.2-F 09'!P15</f>
        <v>19444465.926407062</v>
      </c>
      <c r="E171" s="166"/>
      <c r="F171" s="79"/>
      <c r="G171" s="168"/>
      <c r="H171" s="177"/>
    </row>
    <row r="172" spans="1:10">
      <c r="A172" s="63">
        <f t="shared" si="2"/>
        <v>160</v>
      </c>
      <c r="B172" s="164">
        <v>4081</v>
      </c>
      <c r="C172" s="57" t="s">
        <v>217</v>
      </c>
      <c r="D172" s="178">
        <f>'C.2.2-F 09'!P16</f>
        <v>6100220.1526932763</v>
      </c>
      <c r="E172" s="178"/>
      <c r="F172" s="79"/>
      <c r="G172" s="168"/>
      <c r="H172" s="177"/>
    </row>
    <row r="173" spans="1:10">
      <c r="A173" s="63">
        <f t="shared" si="2"/>
        <v>161</v>
      </c>
      <c r="B173" s="164">
        <v>4091</v>
      </c>
      <c r="C173" s="57" t="s">
        <v>219</v>
      </c>
      <c r="D173" s="178">
        <f>'C.2.2-F 09'!P12</f>
        <v>11144643.809522655</v>
      </c>
      <c r="E173" s="178"/>
      <c r="F173" s="79"/>
      <c r="G173" s="168"/>
    </row>
    <row r="174" spans="1:10">
      <c r="A174" s="63">
        <f t="shared" si="2"/>
        <v>162</v>
      </c>
      <c r="B174" s="186"/>
      <c r="D174" s="5"/>
      <c r="E174" s="5"/>
    </row>
    <row r="175" spans="1:10">
      <c r="A175" s="63">
        <f t="shared" si="2"/>
        <v>163</v>
      </c>
      <c r="B175" s="187"/>
      <c r="C175" s="57" t="s">
        <v>232</v>
      </c>
      <c r="D175" s="176">
        <f>+D169+SUM(D171:D173)</f>
        <v>142918792.40758988</v>
      </c>
      <c r="E175" s="166"/>
    </row>
    <row r="176" spans="1:10">
      <c r="A176" s="63">
        <f t="shared" si="2"/>
        <v>164</v>
      </c>
      <c r="B176" s="186"/>
      <c r="D176" s="5"/>
      <c r="E176" s="5"/>
    </row>
    <row r="177" spans="1:5" ht="15.75" thickBot="1">
      <c r="A177" s="63">
        <f t="shared" si="2"/>
        <v>165</v>
      </c>
      <c r="B177" s="187"/>
      <c r="C177" s="57" t="s">
        <v>233</v>
      </c>
      <c r="D177" s="188">
        <f>(D28-D175)</f>
        <v>23885863.064830452</v>
      </c>
      <c r="E177" s="166"/>
    </row>
    <row r="178" spans="1:5" ht="15.75" thickTop="1">
      <c r="A178" s="99"/>
      <c r="B178" s="189"/>
      <c r="C178" s="99"/>
      <c r="D178" s="190"/>
      <c r="E178" s="190"/>
    </row>
    <row r="179" spans="1:5">
      <c r="A179" s="99"/>
      <c r="B179" s="191"/>
      <c r="C179" s="99"/>
      <c r="D179" s="99"/>
      <c r="E179" s="99"/>
    </row>
    <row r="180" spans="1:5">
      <c r="B180" s="192"/>
    </row>
    <row r="181" spans="1:5">
      <c r="B181" s="192"/>
    </row>
    <row r="182" spans="1:5">
      <c r="B182" s="192"/>
    </row>
    <row r="183" spans="1:5">
      <c r="B183" s="192"/>
    </row>
    <row r="184" spans="1:5">
      <c r="B184" s="186"/>
    </row>
    <row r="185" spans="1:5">
      <c r="B185" s="186"/>
    </row>
    <row r="186" spans="1:5">
      <c r="B186" s="186"/>
    </row>
    <row r="187" spans="1:5">
      <c r="B187" s="186"/>
    </row>
    <row r="188" spans="1:5">
      <c r="B188" s="186"/>
    </row>
  </sheetData>
  <mergeCells count="4">
    <mergeCell ref="A1:D1"/>
    <mergeCell ref="A2:D2"/>
    <mergeCell ref="A3:D3"/>
    <mergeCell ref="A4:D4"/>
  </mergeCells>
  <printOptions horizontalCentered="1"/>
  <pageMargins left="0.81" right="0.7" top="0.71" bottom="0.94" header="0.25" footer="0.25"/>
  <pageSetup scale="73" fitToHeight="10" orientation="portrait" verticalDpi="300" r:id="rId1"/>
  <headerFooter alignWithMargins="0">
    <oddHeader xml:space="preserve">&amp;R&amp;10CASE NO. 2015-00343
FR_16(8)(c)
ATTACHMENT 1
</oddHeader>
    <oddFooter>&amp;RSchedule &amp;A
Page &amp;P of &amp;N</oddFooter>
  </headerFooter>
  <rowBreaks count="1" manualBreakCount="1">
    <brk id="5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view="pageBreakPreview" zoomScale="60" zoomScaleNormal="70" workbookViewId="0">
      <pane xSplit="3" ySplit="10" topLeftCell="D11" activePane="bottomRight" state="frozen"/>
      <selection activeCell="C19" sqref="C19"/>
      <selection pane="topRight" activeCell="C19" sqref="C19"/>
      <selection pane="bottomLeft" activeCell="C19" sqref="C19"/>
      <selection pane="bottomRight" activeCell="D11" sqref="D11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1" width="11.33203125" bestFit="1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  <c r="R1" s="6"/>
      <c r="S1" s="6"/>
    </row>
    <row r="2" spans="1:21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  <c r="R2" s="6"/>
      <c r="S2" s="6"/>
    </row>
    <row r="3" spans="1:21">
      <c r="A3" s="310" t="s">
        <v>234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  <c r="R3" s="6"/>
      <c r="S3" s="6"/>
    </row>
    <row r="4" spans="1:21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  <c r="R4" s="6"/>
      <c r="S4" s="6"/>
    </row>
    <row r="5" spans="1:21" ht="15.75">
      <c r="A5" s="4"/>
      <c r="B5" s="4"/>
      <c r="C5" s="4"/>
      <c r="D5" s="99"/>
      <c r="F5" s="193"/>
      <c r="G5" s="4"/>
      <c r="H5" s="4"/>
      <c r="I5" s="4"/>
      <c r="K5" s="193"/>
      <c r="L5" s="4"/>
      <c r="M5" s="4"/>
      <c r="N5" s="4"/>
      <c r="O5" s="4"/>
      <c r="P5" s="4"/>
      <c r="Q5" s="6"/>
      <c r="R5" s="6"/>
      <c r="S5" s="6"/>
    </row>
    <row r="6" spans="1:21" ht="15.75">
      <c r="A6" s="11" t="str">
        <f>'C.2.1 B'!A6</f>
        <v>Data:___X____Base Period________Forecasted Period</v>
      </c>
      <c r="B6" s="6"/>
      <c r="C6" s="194"/>
      <c r="D6" s="99"/>
      <c r="E6" s="99"/>
      <c r="F6" s="193"/>
      <c r="G6" s="99"/>
      <c r="H6" s="99"/>
      <c r="I6" s="99"/>
      <c r="J6" s="99"/>
      <c r="L6" s="6"/>
      <c r="M6" s="6"/>
      <c r="N6" s="6"/>
      <c r="O6" s="4"/>
      <c r="P6" s="195" t="s">
        <v>235</v>
      </c>
      <c r="Q6" s="6"/>
      <c r="R6" s="6"/>
      <c r="S6" s="6"/>
    </row>
    <row r="7" spans="1:21">
      <c r="A7" s="11" t="str">
        <f>'C.2.1 B'!A7</f>
        <v>Type of Filing:___X____Original________Updated ________Revised</v>
      </c>
      <c r="B7" s="6"/>
      <c r="C7" s="194"/>
      <c r="D7" s="99"/>
      <c r="E7" s="79"/>
      <c r="F7" s="6"/>
      <c r="G7" s="6"/>
      <c r="H7" s="6"/>
      <c r="I7" s="6"/>
      <c r="J7" s="6"/>
      <c r="K7" s="6"/>
      <c r="L7" s="6"/>
      <c r="M7" s="6"/>
      <c r="N7" s="6"/>
      <c r="O7" s="4"/>
      <c r="P7" s="196" t="s">
        <v>236</v>
      </c>
      <c r="Q7" s="6"/>
      <c r="R7" s="6"/>
      <c r="S7" s="6"/>
    </row>
    <row r="8" spans="1:21">
      <c r="A8" s="59" t="str">
        <f>'C.2.1 B'!A8</f>
        <v>Workpaper Reference No(s).____________________</v>
      </c>
      <c r="B8" s="6"/>
      <c r="C8" s="194"/>
      <c r="D8" s="3"/>
      <c r="E8" s="15"/>
      <c r="F8" s="15"/>
      <c r="G8" s="15"/>
      <c r="H8" s="15"/>
      <c r="I8" s="15"/>
      <c r="J8" s="15"/>
      <c r="K8" s="15"/>
      <c r="L8" s="15"/>
      <c r="M8" s="15"/>
      <c r="N8" s="15"/>
      <c r="O8" s="197"/>
      <c r="P8" s="198" t="str">
        <f>C.1!J9</f>
        <v>Witness: Waller, Smith</v>
      </c>
      <c r="Q8" s="6"/>
      <c r="R8" s="6"/>
      <c r="S8" s="6"/>
    </row>
    <row r="9" spans="1:21">
      <c r="A9" s="199" t="s">
        <v>21</v>
      </c>
      <c r="B9" s="200" t="s">
        <v>237</v>
      </c>
      <c r="C9" s="201"/>
      <c r="D9" s="202" t="s">
        <v>238</v>
      </c>
      <c r="E9" s="202" t="s">
        <v>238</v>
      </c>
      <c r="F9" s="202" t="s">
        <v>238</v>
      </c>
      <c r="G9" s="202" t="s">
        <v>238</v>
      </c>
      <c r="H9" s="202" t="s">
        <v>238</v>
      </c>
      <c r="I9" s="202" t="s">
        <v>238</v>
      </c>
      <c r="J9" s="203" t="s">
        <v>20</v>
      </c>
      <c r="K9" s="204" t="s">
        <v>239</v>
      </c>
      <c r="L9" s="204" t="s">
        <v>239</v>
      </c>
      <c r="M9" s="204" t="s">
        <v>239</v>
      </c>
      <c r="N9" s="204" t="s">
        <v>239</v>
      </c>
      <c r="O9" s="204" t="s">
        <v>239</v>
      </c>
      <c r="P9" s="4"/>
      <c r="Q9" s="4"/>
      <c r="R9" s="4"/>
      <c r="S9" s="4"/>
    </row>
    <row r="10" spans="1:21">
      <c r="A10" s="205" t="s">
        <v>24</v>
      </c>
      <c r="B10" s="1" t="s">
        <v>24</v>
      </c>
      <c r="C10" s="206" t="s">
        <v>240</v>
      </c>
      <c r="D10" s="207">
        <v>42094</v>
      </c>
      <c r="E10" s="207">
        <v>42095</v>
      </c>
      <c r="F10" s="207">
        <v>42155</v>
      </c>
      <c r="G10" s="207">
        <v>42185</v>
      </c>
      <c r="H10" s="207">
        <v>42216</v>
      </c>
      <c r="I10" s="207">
        <v>42247</v>
      </c>
      <c r="J10" s="208">
        <v>42277</v>
      </c>
      <c r="K10" s="207">
        <v>42308</v>
      </c>
      <c r="L10" s="207">
        <v>42338</v>
      </c>
      <c r="M10" s="207">
        <v>42369</v>
      </c>
      <c r="N10" s="207">
        <v>42400</v>
      </c>
      <c r="O10" s="207">
        <v>42429</v>
      </c>
      <c r="P10" s="209" t="s">
        <v>241</v>
      </c>
      <c r="Q10" s="210"/>
      <c r="R10" s="4"/>
      <c r="S10" s="4"/>
    </row>
    <row r="11" spans="1:21">
      <c r="A11" s="6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68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  <c r="R11" s="6"/>
    </row>
    <row r="12" spans="1:21">
      <c r="A12" s="8">
        <v>1</v>
      </c>
      <c r="B12" s="211" t="s">
        <v>218</v>
      </c>
      <c r="C12" s="212" t="s">
        <v>243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34">
        <v>1573595.0766377375</v>
      </c>
      <c r="K12" s="134">
        <v>1573595.0766377375</v>
      </c>
      <c r="L12" s="134">
        <v>1573595.0766377375</v>
      </c>
      <c r="M12" s="134">
        <v>1573595.0766377375</v>
      </c>
      <c r="N12" s="134">
        <v>1573595.0766377375</v>
      </c>
      <c r="O12" s="134">
        <v>1573595.0766377375</v>
      </c>
      <c r="P12" s="6">
        <f>SUM(D12:O12)</f>
        <v>9441570.4598264247</v>
      </c>
      <c r="Q12" s="79"/>
      <c r="R12" s="79"/>
      <c r="S12" s="79"/>
      <c r="U12" s="213"/>
    </row>
    <row r="13" spans="1:21">
      <c r="A13" s="4">
        <f t="shared" ref="A13:A76" si="0">A12+1</f>
        <v>2</v>
      </c>
      <c r="B13" s="144"/>
      <c r="C13" s="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6"/>
      <c r="R13" s="6"/>
      <c r="S13" s="6"/>
    </row>
    <row r="14" spans="1:21">
      <c r="A14" s="4">
        <f t="shared" si="0"/>
        <v>3</v>
      </c>
      <c r="B14" s="144">
        <v>4030</v>
      </c>
      <c r="C14" s="6" t="s">
        <v>70</v>
      </c>
      <c r="D14" s="214">
        <v>1500191.86</v>
      </c>
      <c r="E14" s="214">
        <v>1506918.1699999997</v>
      </c>
      <c r="F14" s="214">
        <v>1518671.0699999996</v>
      </c>
      <c r="G14" s="214">
        <v>1520812.2899999998</v>
      </c>
      <c r="H14" s="214">
        <v>1552385.67</v>
      </c>
      <c r="I14" s="214">
        <v>1579114.02</v>
      </c>
      <c r="J14" s="214">
        <v>1578172.95</v>
      </c>
      <c r="K14" s="214">
        <v>1712080.32903727</v>
      </c>
      <c r="L14" s="214">
        <v>1476587.50922046</v>
      </c>
      <c r="M14" s="214">
        <v>1258160.2353352001</v>
      </c>
      <c r="N14" s="214">
        <v>1503346.99055836</v>
      </c>
      <c r="O14" s="214">
        <v>1497842.4439481001</v>
      </c>
      <c r="P14" s="6">
        <f t="shared" ref="P14:P77" si="1">SUM(D14:O14)</f>
        <v>18204283.53809939</v>
      </c>
      <c r="Q14" s="215"/>
      <c r="R14" s="5"/>
      <c r="S14" s="5"/>
    </row>
    <row r="15" spans="1:21">
      <c r="A15" s="4">
        <f t="shared" si="0"/>
        <v>4</v>
      </c>
      <c r="B15" s="144">
        <v>4060</v>
      </c>
      <c r="C15" s="6" t="s">
        <v>244</v>
      </c>
      <c r="D15" s="214">
        <v>4037.2</v>
      </c>
      <c r="E15" s="214">
        <v>4037.2</v>
      </c>
      <c r="F15" s="214">
        <v>4037.2</v>
      </c>
      <c r="G15" s="214">
        <v>4037.2</v>
      </c>
      <c r="H15" s="214">
        <v>4037.2</v>
      </c>
      <c r="I15" s="214">
        <v>4037.2</v>
      </c>
      <c r="J15" s="214">
        <f>I15</f>
        <v>4037.2</v>
      </c>
      <c r="K15" s="214">
        <f t="shared" ref="K15:O15" si="2">J15</f>
        <v>4037.2</v>
      </c>
      <c r="L15" s="214">
        <f t="shared" si="2"/>
        <v>4037.2</v>
      </c>
      <c r="M15" s="214">
        <f t="shared" si="2"/>
        <v>4037.2</v>
      </c>
      <c r="N15" s="214">
        <f t="shared" si="2"/>
        <v>4037.2</v>
      </c>
      <c r="O15" s="214">
        <f t="shared" si="2"/>
        <v>4037.2</v>
      </c>
      <c r="P15" s="6">
        <f t="shared" si="1"/>
        <v>48446.399999999994</v>
      </c>
      <c r="R15" s="79"/>
      <c r="S15" s="6"/>
    </row>
    <row r="16" spans="1:21">
      <c r="A16" s="4">
        <f t="shared" si="0"/>
        <v>5</v>
      </c>
      <c r="B16" s="144">
        <v>4081</v>
      </c>
      <c r="C16" s="5" t="s">
        <v>245</v>
      </c>
      <c r="D16" s="214">
        <v>455463.65</v>
      </c>
      <c r="E16" s="214">
        <v>551122.26000000013</v>
      </c>
      <c r="F16" s="214">
        <v>603830.34000000008</v>
      </c>
      <c r="G16" s="214">
        <v>554649.64000000013</v>
      </c>
      <c r="H16" s="214">
        <v>583075.11999999976</v>
      </c>
      <c r="I16" s="214">
        <v>562687.59999999974</v>
      </c>
      <c r="J16" s="214">
        <f>'C.2.3 B'!I24</f>
        <v>557509.30999999994</v>
      </c>
      <c r="K16" s="214">
        <f>'C.2.3 B'!J24</f>
        <v>532755.3608626331</v>
      </c>
      <c r="L16" s="214">
        <f>'C.2.3 B'!K24</f>
        <v>517484.36086263316</v>
      </c>
      <c r="M16" s="214">
        <f>'C.2.3 B'!L24</f>
        <v>483306.36086263316</v>
      </c>
      <c r="N16" s="214">
        <f>'C.2.3 B'!M24</f>
        <v>540899.3608626331</v>
      </c>
      <c r="O16" s="214">
        <f>'C.2.3 B'!N24</f>
        <v>494761.36086263316</v>
      </c>
      <c r="P16" s="6">
        <f>SUM(D16:O16)</f>
        <v>6437544.724313166</v>
      </c>
      <c r="Q16" s="79"/>
      <c r="R16" s="216"/>
      <c r="S16" s="79"/>
    </row>
    <row r="17" spans="1:25">
      <c r="A17" s="4">
        <f t="shared" si="0"/>
        <v>6</v>
      </c>
      <c r="B17" s="144">
        <v>4800</v>
      </c>
      <c r="C17" s="217" t="s">
        <v>246</v>
      </c>
      <c r="D17" s="214">
        <v>-17499149.710000001</v>
      </c>
      <c r="E17" s="214">
        <v>-8835751.8200000003</v>
      </c>
      <c r="F17" s="214">
        <v>-4807184.55</v>
      </c>
      <c r="G17" s="214">
        <v>-3947246.7099999995</v>
      </c>
      <c r="H17" s="214">
        <v>-3682775</v>
      </c>
      <c r="I17" s="214">
        <v>-3592522.5400000005</v>
      </c>
      <c r="J17" s="116">
        <v>-3769417.3919671541</v>
      </c>
      <c r="K17" s="116">
        <v>-4724297.1339690275</v>
      </c>
      <c r="L17" s="116">
        <v>-8123138.5437027179</v>
      </c>
      <c r="M17" s="116">
        <v>-12098616.986870199</v>
      </c>
      <c r="N17" s="116">
        <v>-13698809.21547522</v>
      </c>
      <c r="O17" s="116">
        <v>-13428215.027079664</v>
      </c>
      <c r="P17" s="5">
        <f t="shared" si="1"/>
        <v>-98207124.629063994</v>
      </c>
      <c r="Q17" s="6"/>
      <c r="R17" s="6"/>
      <c r="S17" s="6"/>
    </row>
    <row r="18" spans="1:25">
      <c r="A18" s="4">
        <f t="shared" si="0"/>
        <v>7</v>
      </c>
      <c r="B18" s="211">
        <v>4805</v>
      </c>
      <c r="C18" s="217" t="s">
        <v>247</v>
      </c>
      <c r="D18" s="214">
        <v>2497143.59</v>
      </c>
      <c r="E18" s="214">
        <v>2805243</v>
      </c>
      <c r="F18" s="214">
        <v>1117326</v>
      </c>
      <c r="G18" s="214">
        <v>211816.98</v>
      </c>
      <c r="H18" s="214">
        <v>161218.25</v>
      </c>
      <c r="I18" s="214">
        <v>-5454.23</v>
      </c>
      <c r="J18" s="116"/>
      <c r="K18" s="116"/>
      <c r="L18" s="116"/>
      <c r="M18" s="116"/>
      <c r="N18" s="116"/>
      <c r="O18" s="116"/>
      <c r="P18" s="5">
        <f t="shared" si="1"/>
        <v>6787293.5899999999</v>
      </c>
      <c r="Q18" s="6"/>
      <c r="R18" s="6"/>
      <c r="S18" s="6"/>
    </row>
    <row r="19" spans="1:25">
      <c r="A19" s="4">
        <f t="shared" si="0"/>
        <v>8</v>
      </c>
      <c r="B19" s="144">
        <v>4811</v>
      </c>
      <c r="C19" s="217" t="s">
        <v>248</v>
      </c>
      <c r="D19" s="214">
        <v>-7186235.0599999996</v>
      </c>
      <c r="E19" s="214">
        <v>-3658789.95</v>
      </c>
      <c r="F19" s="214">
        <v>-2042626.48</v>
      </c>
      <c r="G19" s="214">
        <v>-1726997.6099999999</v>
      </c>
      <c r="H19" s="214">
        <v>-1684522.5299999998</v>
      </c>
      <c r="I19" s="214">
        <v>-1618594.2600000002</v>
      </c>
      <c r="J19" s="116">
        <v>-1639454.8258469263</v>
      </c>
      <c r="K19" s="116">
        <v>-1992149.4207614509</v>
      </c>
      <c r="L19" s="116">
        <v>-3330415.8081927942</v>
      </c>
      <c r="M19" s="116">
        <v>-4916730.1715475917</v>
      </c>
      <c r="N19" s="116">
        <v>-5565913.3252026541</v>
      </c>
      <c r="O19" s="116">
        <v>-5588310.9527499313</v>
      </c>
      <c r="P19" s="5">
        <f t="shared" si="1"/>
        <v>-40950740.394301347</v>
      </c>
      <c r="Q19" s="6"/>
      <c r="R19" s="79"/>
      <c r="S19" s="6"/>
    </row>
    <row r="20" spans="1:25">
      <c r="A20" s="4">
        <f t="shared" si="0"/>
        <v>9</v>
      </c>
      <c r="B20" s="144">
        <v>4812</v>
      </c>
      <c r="C20" s="5" t="s">
        <v>249</v>
      </c>
      <c r="D20" s="214">
        <v>-1197881.69</v>
      </c>
      <c r="E20" s="214">
        <v>-487790.35</v>
      </c>
      <c r="F20" s="214">
        <v>-362212.99</v>
      </c>
      <c r="G20" s="214">
        <v>-346989.15</v>
      </c>
      <c r="H20" s="214">
        <v>-238423.65999999997</v>
      </c>
      <c r="I20" s="214">
        <v>-291127.43</v>
      </c>
      <c r="J20" s="116">
        <v>-158299.5864816691</v>
      </c>
      <c r="K20" s="116">
        <v>-217207.52758358273</v>
      </c>
      <c r="L20" s="116">
        <v>-293533.56325164129</v>
      </c>
      <c r="M20" s="116">
        <v>-551760.90757530753</v>
      </c>
      <c r="N20" s="116">
        <v>-721443.24045955297</v>
      </c>
      <c r="O20" s="116">
        <v>-584655.65086196898</v>
      </c>
      <c r="P20" s="5">
        <f t="shared" si="1"/>
        <v>-5451325.746213723</v>
      </c>
      <c r="Q20" s="6"/>
      <c r="R20" s="79"/>
      <c r="S20" s="6"/>
    </row>
    <row r="21" spans="1:25">
      <c r="A21" s="4">
        <f t="shared" si="0"/>
        <v>10</v>
      </c>
      <c r="B21" s="144">
        <v>4815</v>
      </c>
      <c r="C21" s="5" t="s">
        <v>250</v>
      </c>
      <c r="D21" s="214">
        <v>1346282.01</v>
      </c>
      <c r="E21" s="214">
        <v>1132848</v>
      </c>
      <c r="F21" s="214">
        <v>435895</v>
      </c>
      <c r="G21" s="214">
        <v>31310.63</v>
      </c>
      <c r="H21" s="214">
        <v>55324.13</v>
      </c>
      <c r="I21" s="214">
        <v>-29339.759999999995</v>
      </c>
      <c r="J21" s="116"/>
      <c r="K21" s="116"/>
      <c r="L21" s="116"/>
      <c r="M21" s="116"/>
      <c r="N21" s="116"/>
      <c r="O21" s="116"/>
      <c r="P21" s="5">
        <f t="shared" si="1"/>
        <v>2972320.01</v>
      </c>
      <c r="Q21" s="6"/>
      <c r="R21" s="79"/>
      <c r="S21" s="6"/>
    </row>
    <row r="22" spans="1:25">
      <c r="A22" s="4">
        <f t="shared" si="0"/>
        <v>11</v>
      </c>
      <c r="B22" s="144">
        <v>4816</v>
      </c>
      <c r="C22" s="5" t="s">
        <v>251</v>
      </c>
      <c r="D22" s="214">
        <v>11983.32</v>
      </c>
      <c r="E22" s="214">
        <v>-3875.7599999999998</v>
      </c>
      <c r="F22" s="214">
        <v>-369.73</v>
      </c>
      <c r="G22" s="214">
        <v>27777.65</v>
      </c>
      <c r="H22" s="214">
        <v>16652.580000000002</v>
      </c>
      <c r="I22" s="214">
        <v>62629.25</v>
      </c>
      <c r="J22" s="116"/>
      <c r="K22" s="116"/>
      <c r="L22" s="116"/>
      <c r="M22" s="116"/>
      <c r="N22" s="116"/>
      <c r="O22" s="116"/>
      <c r="P22" s="5">
        <f t="shared" si="1"/>
        <v>114797.31</v>
      </c>
      <c r="R22" s="79"/>
      <c r="S22" s="6"/>
    </row>
    <row r="23" spans="1:25">
      <c r="A23" s="4">
        <f t="shared" si="0"/>
        <v>12</v>
      </c>
      <c r="B23" s="144">
        <v>4820</v>
      </c>
      <c r="C23" s="5" t="s">
        <v>252</v>
      </c>
      <c r="D23" s="214">
        <v>-1446421.2300000002</v>
      </c>
      <c r="E23" s="214">
        <v>-695366.92</v>
      </c>
      <c r="F23" s="214">
        <v>-390277.04</v>
      </c>
      <c r="G23" s="214">
        <v>-265750.75</v>
      </c>
      <c r="H23" s="214">
        <v>-234283.08000000002</v>
      </c>
      <c r="I23" s="214">
        <v>-225612.40000000002</v>
      </c>
      <c r="J23" s="116">
        <v>-228523.99519115966</v>
      </c>
      <c r="K23" s="116">
        <v>-317447.81714359624</v>
      </c>
      <c r="L23" s="116">
        <v>-616794.48648853321</v>
      </c>
      <c r="M23" s="116">
        <v>-958234.88781337603</v>
      </c>
      <c r="N23" s="116">
        <v>-1101190.0667949645</v>
      </c>
      <c r="O23" s="116">
        <v>-1073586.2062504529</v>
      </c>
      <c r="P23" s="5">
        <f t="shared" si="1"/>
        <v>-7553488.8796820827</v>
      </c>
      <c r="Q23" s="5"/>
      <c r="R23" s="79"/>
      <c r="S23" s="6"/>
    </row>
    <row r="24" spans="1:25">
      <c r="A24" s="4">
        <f t="shared" si="0"/>
        <v>13</v>
      </c>
      <c r="B24" s="144">
        <v>4825</v>
      </c>
      <c r="C24" s="5" t="s">
        <v>253</v>
      </c>
      <c r="D24" s="214">
        <v>264396.38</v>
      </c>
      <c r="E24" s="214">
        <v>244216</v>
      </c>
      <c r="F24" s="214">
        <v>77237</v>
      </c>
      <c r="G24" s="214">
        <v>28967.09</v>
      </c>
      <c r="H24" s="214">
        <v>19607.62</v>
      </c>
      <c r="I24" s="214">
        <v>-5230.71</v>
      </c>
      <c r="J24" s="116"/>
      <c r="K24" s="116"/>
      <c r="L24" s="116"/>
      <c r="M24" s="116"/>
      <c r="N24" s="116"/>
      <c r="O24" s="116"/>
      <c r="P24" s="5">
        <f t="shared" si="1"/>
        <v>629193.38</v>
      </c>
      <c r="S24" s="6"/>
    </row>
    <row r="25" spans="1:25">
      <c r="A25" s="4">
        <f t="shared" si="0"/>
        <v>14</v>
      </c>
      <c r="B25" s="144">
        <v>4870</v>
      </c>
      <c r="C25" s="5" t="s">
        <v>254</v>
      </c>
      <c r="D25" s="214">
        <v>-201601.71</v>
      </c>
      <c r="E25" s="214">
        <v>-223761.32</v>
      </c>
      <c r="F25" s="214">
        <v>-89188.51</v>
      </c>
      <c r="G25" s="214">
        <v>-60407.39</v>
      </c>
      <c r="H25" s="214">
        <v>-59251.95</v>
      </c>
      <c r="I25" s="214">
        <v>-46947.86</v>
      </c>
      <c r="J25" s="116">
        <v>-44791.383644271991</v>
      </c>
      <c r="K25" s="116">
        <v>-45091.96811961769</v>
      </c>
      <c r="L25" s="116">
        <v>-56262.756654776204</v>
      </c>
      <c r="M25" s="116">
        <v>-96549.413802119583</v>
      </c>
      <c r="N25" s="116">
        <v>-143697.08057829188</v>
      </c>
      <c r="O25" s="116">
        <v>-162832.31072609653</v>
      </c>
      <c r="P25" s="5">
        <f t="shared" si="1"/>
        <v>-1230383.6535251739</v>
      </c>
      <c r="R25" s="6"/>
      <c r="S25" s="6"/>
    </row>
    <row r="26" spans="1:25">
      <c r="A26" s="4">
        <f t="shared" si="0"/>
        <v>15</v>
      </c>
      <c r="B26" s="144">
        <v>4880</v>
      </c>
      <c r="C26" s="5" t="s">
        <v>255</v>
      </c>
      <c r="D26" s="214">
        <v>-61994.87</v>
      </c>
      <c r="E26" s="214">
        <v>-55114</v>
      </c>
      <c r="F26" s="214">
        <v>-56775</v>
      </c>
      <c r="G26" s="214">
        <v>-53153</v>
      </c>
      <c r="H26" s="214">
        <v>-52376</v>
      </c>
      <c r="I26" s="214">
        <v>-49804.14</v>
      </c>
      <c r="J26" s="116">
        <v>-61445</v>
      </c>
      <c r="K26" s="116">
        <v>-120749</v>
      </c>
      <c r="L26" s="116">
        <v>-125695</v>
      </c>
      <c r="M26" s="116">
        <v>-56798</v>
      </c>
      <c r="N26" s="116">
        <v>-53861</v>
      </c>
      <c r="O26" s="116">
        <v>-48764</v>
      </c>
      <c r="P26" s="5">
        <f t="shared" si="1"/>
        <v>-796529.01</v>
      </c>
      <c r="R26" s="6"/>
      <c r="S26" s="6"/>
    </row>
    <row r="27" spans="1:25">
      <c r="A27" s="4">
        <f t="shared" si="0"/>
        <v>16</v>
      </c>
      <c r="B27" s="144">
        <v>4893</v>
      </c>
      <c r="C27" s="6" t="s">
        <v>256</v>
      </c>
      <c r="D27" s="214">
        <v>-1391289.63</v>
      </c>
      <c r="E27" s="214">
        <v>-1208824.44</v>
      </c>
      <c r="F27" s="214">
        <v>-1170378.6300000001</v>
      </c>
      <c r="G27" s="214">
        <v>-1061614.27</v>
      </c>
      <c r="H27" s="214">
        <v>-1069176.8499999999</v>
      </c>
      <c r="I27" s="214">
        <v>-1130107.73</v>
      </c>
      <c r="J27" s="116">
        <v>-1050910.6894999999</v>
      </c>
      <c r="K27" s="116">
        <v>-1190909.3454499999</v>
      </c>
      <c r="L27" s="116">
        <v>-1319362.7035000001</v>
      </c>
      <c r="M27" s="116">
        <v>-1329060.5179000003</v>
      </c>
      <c r="N27" s="116">
        <v>-1473667.6765999999</v>
      </c>
      <c r="O27" s="116">
        <v>-1424542.7038</v>
      </c>
      <c r="P27" s="5">
        <f t="shared" si="1"/>
        <v>-14819845.18675</v>
      </c>
      <c r="Q27" s="218"/>
      <c r="R27" s="9"/>
      <c r="S27" s="9"/>
      <c r="T27" s="9"/>
      <c r="U27" s="9"/>
      <c r="V27" s="9"/>
      <c r="W27" s="9"/>
      <c r="X27" s="9"/>
      <c r="Y27" s="9"/>
    </row>
    <row r="28" spans="1:25">
      <c r="A28" s="4">
        <f t="shared" si="0"/>
        <v>17</v>
      </c>
      <c r="B28" s="144">
        <v>4950</v>
      </c>
      <c r="C28" s="5" t="s">
        <v>98</v>
      </c>
      <c r="D28" s="214"/>
      <c r="E28" s="214"/>
      <c r="F28" s="214"/>
      <c r="G28" s="214"/>
      <c r="H28" s="214"/>
      <c r="I28" s="214"/>
      <c r="J28" s="116">
        <v>-197356.58499999999</v>
      </c>
      <c r="K28" s="116">
        <v>-213502.51250000004</v>
      </c>
      <c r="L28" s="116">
        <v>-225558.07250000001</v>
      </c>
      <c r="M28" s="116">
        <v>-235550.01249999998</v>
      </c>
      <c r="N28" s="116">
        <v>-252288.6275</v>
      </c>
      <c r="O28" s="116">
        <v>-241810.63249999995</v>
      </c>
      <c r="P28" s="5">
        <f t="shared" si="1"/>
        <v>-1366066.4424999999</v>
      </c>
      <c r="Q28" s="219"/>
    </row>
    <row r="29" spans="1:25">
      <c r="A29" s="4">
        <f t="shared" si="0"/>
        <v>18</v>
      </c>
      <c r="B29" s="144">
        <v>7560</v>
      </c>
      <c r="C29" s="9" t="s">
        <v>257</v>
      </c>
      <c r="D29" s="214">
        <v>46.94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134">
        <v>8.915354938543171</v>
      </c>
      <c r="K29" s="134">
        <v>8.8377941224042225</v>
      </c>
      <c r="L29" s="134">
        <v>8.3011196961340818</v>
      </c>
      <c r="M29" s="134">
        <v>8.3669483782588046</v>
      </c>
      <c r="N29" s="134">
        <v>8.2476765586461607</v>
      </c>
      <c r="O29" s="134">
        <v>7.8998085451070725</v>
      </c>
      <c r="P29" s="5">
        <f t="shared" si="1"/>
        <v>97.508702239093509</v>
      </c>
      <c r="S29" s="6"/>
    </row>
    <row r="30" spans="1:25">
      <c r="A30" s="4">
        <f t="shared" si="0"/>
        <v>19</v>
      </c>
      <c r="B30" s="144">
        <v>7590</v>
      </c>
      <c r="C30" s="212" t="s">
        <v>104</v>
      </c>
      <c r="D30" s="214"/>
      <c r="E30" s="214"/>
      <c r="F30" s="214"/>
      <c r="G30" s="214"/>
      <c r="H30" s="214"/>
      <c r="I30" s="214"/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5">
        <f t="shared" si="1"/>
        <v>0</v>
      </c>
      <c r="S30" s="6"/>
    </row>
    <row r="31" spans="1:25">
      <c r="A31" s="4">
        <f t="shared" si="0"/>
        <v>20</v>
      </c>
      <c r="B31" s="144">
        <v>8001</v>
      </c>
      <c r="C31" s="6" t="s">
        <v>146</v>
      </c>
      <c r="D31" s="214">
        <v>283919.86</v>
      </c>
      <c r="E31" s="214">
        <v>308563.48</v>
      </c>
      <c r="F31" s="214">
        <v>0</v>
      </c>
      <c r="G31" s="214">
        <v>0</v>
      </c>
      <c r="H31" s="214">
        <v>0</v>
      </c>
      <c r="I31" s="214">
        <v>0</v>
      </c>
      <c r="J31" s="116">
        <v>0</v>
      </c>
      <c r="K31" s="116">
        <v>0</v>
      </c>
      <c r="L31" s="116">
        <v>0</v>
      </c>
      <c r="M31" s="116">
        <v>139713.86778650412</v>
      </c>
      <c r="N31" s="116">
        <v>85207.997388707037</v>
      </c>
      <c r="O31" s="116">
        <v>389932.36753601005</v>
      </c>
      <c r="P31" s="5">
        <f t="shared" si="1"/>
        <v>1207337.5727112212</v>
      </c>
      <c r="Q31" s="79"/>
      <c r="R31" s="79"/>
      <c r="S31" s="6"/>
    </row>
    <row r="32" spans="1:25">
      <c r="A32" s="4">
        <f t="shared" si="0"/>
        <v>21</v>
      </c>
      <c r="B32" s="144">
        <v>8010</v>
      </c>
      <c r="C32" s="145" t="s">
        <v>258</v>
      </c>
      <c r="D32" s="214">
        <v>12478.22</v>
      </c>
      <c r="E32" s="214">
        <v>9142.89</v>
      </c>
      <c r="F32" s="214">
        <v>5884.15</v>
      </c>
      <c r="G32" s="214">
        <v>5792.12</v>
      </c>
      <c r="H32" s="214">
        <v>5654.6</v>
      </c>
      <c r="I32" s="214">
        <v>5582.17</v>
      </c>
      <c r="J32" s="116">
        <v>6574.868896686231</v>
      </c>
      <c r="K32" s="116">
        <v>3926.8162225257174</v>
      </c>
      <c r="L32" s="116">
        <v>5305.4370163802487</v>
      </c>
      <c r="M32" s="116">
        <v>4775.084674783936</v>
      </c>
      <c r="N32" s="116">
        <v>4710.5495386244729</v>
      </c>
      <c r="O32" s="116">
        <v>3297.347187186982</v>
      </c>
      <c r="P32" s="5">
        <f t="shared" si="1"/>
        <v>73124.253536187593</v>
      </c>
      <c r="Q32" s="6"/>
      <c r="R32" s="6"/>
      <c r="S32" s="6"/>
    </row>
    <row r="33" spans="1:19">
      <c r="A33" s="4">
        <f t="shared" si="0"/>
        <v>22</v>
      </c>
      <c r="B33" s="144">
        <v>8040</v>
      </c>
      <c r="C33" s="6" t="s">
        <v>259</v>
      </c>
      <c r="D33" s="214">
        <v>5149422.08</v>
      </c>
      <c r="E33" s="214">
        <v>1646030.6600000001</v>
      </c>
      <c r="F33" s="214">
        <v>5591672.6000000006</v>
      </c>
      <c r="G33" s="214">
        <v>4195844.6000000006</v>
      </c>
      <c r="H33" s="214">
        <v>4747563.33</v>
      </c>
      <c r="I33" s="214">
        <v>4098565.67</v>
      </c>
      <c r="J33" s="116">
        <v>3843168.3650242626</v>
      </c>
      <c r="K33" s="116">
        <v>3805125.9183895686</v>
      </c>
      <c r="L33" s="116">
        <v>4894527.117914536</v>
      </c>
      <c r="M33" s="116">
        <v>4533023.0958209466</v>
      </c>
      <c r="N33" s="116">
        <v>3647077.8894252698</v>
      </c>
      <c r="O33" s="116">
        <v>2292789.2263635383</v>
      </c>
      <c r="P33" s="5">
        <f t="shared" si="1"/>
        <v>48444810.552938133</v>
      </c>
      <c r="Q33" s="6"/>
      <c r="R33" s="79"/>
      <c r="S33" s="6"/>
    </row>
    <row r="34" spans="1:19">
      <c r="A34" s="4">
        <f t="shared" si="0"/>
        <v>23</v>
      </c>
      <c r="B34" s="144">
        <v>8050</v>
      </c>
      <c r="C34" s="6" t="s">
        <v>260</v>
      </c>
      <c r="D34" s="214">
        <v>31610.82</v>
      </c>
      <c r="E34" s="214">
        <v>-11.62</v>
      </c>
      <c r="F34" s="214">
        <v>-765.92</v>
      </c>
      <c r="G34" s="214">
        <v>-880.49</v>
      </c>
      <c r="H34" s="214">
        <v>-2487.39</v>
      </c>
      <c r="I34" s="214">
        <v>-1631.6</v>
      </c>
      <c r="J34" s="116">
        <v>-206.74098814949014</v>
      </c>
      <c r="K34" s="116">
        <v>-14.222396678388668</v>
      </c>
      <c r="L34" s="116">
        <v>-20.610106604216238</v>
      </c>
      <c r="M34" s="116">
        <v>0</v>
      </c>
      <c r="N34" s="116">
        <v>0</v>
      </c>
      <c r="O34" s="116">
        <v>-221.20715642082789</v>
      </c>
      <c r="P34" s="5">
        <f t="shared" si="1"/>
        <v>25371.019352147079</v>
      </c>
      <c r="Q34" s="6"/>
      <c r="R34" s="79"/>
      <c r="S34" s="6"/>
    </row>
    <row r="35" spans="1:19">
      <c r="A35" s="4">
        <f t="shared" si="0"/>
        <v>24</v>
      </c>
      <c r="B35" s="144">
        <v>8051</v>
      </c>
      <c r="C35" s="6" t="s">
        <v>261</v>
      </c>
      <c r="D35" s="214">
        <v>12663742.939999999</v>
      </c>
      <c r="E35" s="214">
        <v>4789926.13</v>
      </c>
      <c r="F35" s="214">
        <v>1691271.03</v>
      </c>
      <c r="G35" s="214">
        <v>1010733.82</v>
      </c>
      <c r="H35" s="214">
        <v>814974.36</v>
      </c>
      <c r="I35" s="214">
        <v>735807.38</v>
      </c>
      <c r="J35" s="116">
        <v>666727.55310394708</v>
      </c>
      <c r="K35" s="116">
        <v>864160.974106682</v>
      </c>
      <c r="L35" s="116">
        <v>2875147.9039577646</v>
      </c>
      <c r="M35" s="116">
        <v>6250587.2049782341</v>
      </c>
      <c r="N35" s="116">
        <v>7694660.3654929958</v>
      </c>
      <c r="O35" s="116">
        <v>8049972.4740340738</v>
      </c>
      <c r="P35" s="5">
        <f t="shared" si="1"/>
        <v>48107712.135673694</v>
      </c>
      <c r="Q35" s="6"/>
      <c r="R35" s="6"/>
      <c r="S35" s="6"/>
    </row>
    <row r="36" spans="1:19">
      <c r="A36" s="4">
        <f t="shared" si="0"/>
        <v>25</v>
      </c>
      <c r="B36" s="144">
        <v>8052</v>
      </c>
      <c r="C36" s="6" t="s">
        <v>262</v>
      </c>
      <c r="D36" s="214">
        <v>5498969.8499999996</v>
      </c>
      <c r="E36" s="214">
        <v>2291650.2599999998</v>
      </c>
      <c r="F36" s="214">
        <v>1026586.75</v>
      </c>
      <c r="G36" s="214">
        <v>770086.28</v>
      </c>
      <c r="H36" s="214">
        <v>725981.62</v>
      </c>
      <c r="I36" s="214">
        <v>687353.88</v>
      </c>
      <c r="J36" s="116">
        <v>704302.07850785134</v>
      </c>
      <c r="K36" s="116">
        <v>866862.05559797469</v>
      </c>
      <c r="L36" s="116">
        <v>1288479.2884725695</v>
      </c>
      <c r="M36" s="116">
        <v>2698180.2231114516</v>
      </c>
      <c r="N36" s="116">
        <v>3387764.019769303</v>
      </c>
      <c r="O36" s="116">
        <v>3554595.5251892554</v>
      </c>
      <c r="P36" s="5">
        <f t="shared" si="1"/>
        <v>23500811.830648404</v>
      </c>
      <c r="Q36" s="6"/>
      <c r="R36" s="6"/>
      <c r="S36" s="6"/>
    </row>
    <row r="37" spans="1:19">
      <c r="A37" s="4">
        <f t="shared" si="0"/>
        <v>26</v>
      </c>
      <c r="B37" s="144">
        <v>8053</v>
      </c>
      <c r="C37" s="6" t="s">
        <v>263</v>
      </c>
      <c r="D37" s="214">
        <v>1013091.73</v>
      </c>
      <c r="E37" s="214">
        <v>416471.71</v>
      </c>
      <c r="F37" s="214">
        <v>308587.78999999998</v>
      </c>
      <c r="G37" s="214">
        <v>278354.96999999997</v>
      </c>
      <c r="H37" s="214">
        <v>172149.93</v>
      </c>
      <c r="I37" s="214">
        <v>219343.32</v>
      </c>
      <c r="J37" s="116">
        <v>132738.87645052664</v>
      </c>
      <c r="K37" s="116">
        <v>182226.74813356285</v>
      </c>
      <c r="L37" s="116">
        <v>216172.4081882684</v>
      </c>
      <c r="M37" s="116">
        <v>409934.80745718448</v>
      </c>
      <c r="N37" s="116">
        <v>505366.74834123888</v>
      </c>
      <c r="O37" s="116">
        <v>522011.99170213938</v>
      </c>
      <c r="P37" s="5">
        <f t="shared" si="1"/>
        <v>4376451.0302729206</v>
      </c>
      <c r="Q37" s="6"/>
      <c r="R37" s="6"/>
      <c r="S37" s="6"/>
    </row>
    <row r="38" spans="1:19">
      <c r="A38" s="4">
        <f t="shared" si="0"/>
        <v>27</v>
      </c>
      <c r="B38" s="144">
        <v>8054</v>
      </c>
      <c r="C38" s="6" t="s">
        <v>264</v>
      </c>
      <c r="D38" s="214">
        <v>1193064.04</v>
      </c>
      <c r="E38" s="214">
        <v>500918.35</v>
      </c>
      <c r="F38" s="214">
        <v>259798.57</v>
      </c>
      <c r="G38" s="214">
        <v>158243.89000000001</v>
      </c>
      <c r="H38" s="214">
        <v>132851.9</v>
      </c>
      <c r="I38" s="214">
        <v>122285.33</v>
      </c>
      <c r="J38" s="116">
        <v>132093.98128825889</v>
      </c>
      <c r="K38" s="116">
        <v>158661.40528045557</v>
      </c>
      <c r="L38" s="116">
        <v>282861.75985433656</v>
      </c>
      <c r="M38" s="116">
        <v>589295.41432492703</v>
      </c>
      <c r="N38" s="116">
        <v>728249.21026278089</v>
      </c>
      <c r="O38" s="116">
        <v>778473.05475646944</v>
      </c>
      <c r="P38" s="5">
        <f t="shared" si="1"/>
        <v>5036796.9057672285</v>
      </c>
      <c r="Q38" s="6"/>
      <c r="S38" s="6"/>
    </row>
    <row r="39" spans="1:19">
      <c r="A39" s="4">
        <f t="shared" si="0"/>
        <v>28</v>
      </c>
      <c r="B39" s="144">
        <v>8058</v>
      </c>
      <c r="C39" s="6" t="s">
        <v>265</v>
      </c>
      <c r="D39" s="214">
        <v>-4070155.54</v>
      </c>
      <c r="E39" s="214">
        <v>-3421339.03</v>
      </c>
      <c r="F39" s="214">
        <v>-1284236.83</v>
      </c>
      <c r="G39" s="214">
        <v>-235913.03000000003</v>
      </c>
      <c r="H39" s="214">
        <v>-219303.78</v>
      </c>
      <c r="I39" s="214">
        <v>-2498.3800000000047</v>
      </c>
      <c r="J39" s="116">
        <v>-40349.239656918558</v>
      </c>
      <c r="K39" s="116">
        <v>618171.6511195323</v>
      </c>
      <c r="L39" s="116">
        <v>1967607.2338641433</v>
      </c>
      <c r="M39" s="116">
        <v>1326548.7236364048</v>
      </c>
      <c r="N39" s="116">
        <v>941835.42893156083</v>
      </c>
      <c r="O39" s="116">
        <v>440795.30319415504</v>
      </c>
      <c r="P39" s="5">
        <f t="shared" si="1"/>
        <v>-3978837.4889111212</v>
      </c>
      <c r="Q39" s="6"/>
      <c r="R39" s="6"/>
      <c r="S39" s="6"/>
    </row>
    <row r="40" spans="1:19">
      <c r="A40" s="4">
        <f t="shared" si="0"/>
        <v>29</v>
      </c>
      <c r="B40" s="144">
        <v>8059</v>
      </c>
      <c r="C40" s="6" t="s">
        <v>266</v>
      </c>
      <c r="D40" s="214">
        <v>-16484690.699999999</v>
      </c>
      <c r="E40" s="214">
        <v>-9889925.5700000003</v>
      </c>
      <c r="F40" s="214">
        <v>-4545617.1100000003</v>
      </c>
      <c r="G40" s="214">
        <v>-2829673.48</v>
      </c>
      <c r="H40" s="214">
        <v>-2925871.39</v>
      </c>
      <c r="I40" s="214">
        <v>-2689152.57</v>
      </c>
      <c r="J40" s="116">
        <v>-1800709.8889656393</v>
      </c>
      <c r="K40" s="116">
        <v>-1945995.1370026837</v>
      </c>
      <c r="L40" s="116">
        <v>-3179171.8288907134</v>
      </c>
      <c r="M40" s="116">
        <v>-8191662.1064706473</v>
      </c>
      <c r="N40" s="116">
        <v>-8356862.926323358</v>
      </c>
      <c r="O40" s="116">
        <v>-10752242.069183838</v>
      </c>
      <c r="P40" s="5">
        <f t="shared" si="1"/>
        <v>-73591574.776836872</v>
      </c>
      <c r="Q40" s="6"/>
      <c r="R40" s="6"/>
      <c r="S40" s="6"/>
    </row>
    <row r="41" spans="1:19">
      <c r="A41" s="4">
        <f t="shared" si="0"/>
        <v>30</v>
      </c>
      <c r="B41" s="144">
        <v>8060</v>
      </c>
      <c r="C41" s="6" t="s">
        <v>267</v>
      </c>
      <c r="D41" s="214">
        <v>1550074.37</v>
      </c>
      <c r="E41" s="214">
        <v>1665423.99</v>
      </c>
      <c r="F41" s="214">
        <v>-1053696.3600000001</v>
      </c>
      <c r="G41" s="214">
        <v>-987004.77</v>
      </c>
      <c r="H41" s="214">
        <v>-1232655.3600000001</v>
      </c>
      <c r="I41" s="214">
        <v>-797043.91</v>
      </c>
      <c r="J41" s="116">
        <v>-1135851.558477629</v>
      </c>
      <c r="K41" s="116">
        <v>-864040.40709471796</v>
      </c>
      <c r="L41" s="116">
        <v>-987736.02240566013</v>
      </c>
      <c r="M41" s="116">
        <v>649143.281704308</v>
      </c>
      <c r="N41" s="116">
        <v>713964.2378403981</v>
      </c>
      <c r="O41" s="116">
        <v>1847744.8045564189</v>
      </c>
      <c r="P41" s="5">
        <f t="shared" si="1"/>
        <v>-631677.70387688209</v>
      </c>
      <c r="Q41" s="6"/>
      <c r="R41" s="6"/>
      <c r="S41" s="6"/>
    </row>
    <row r="42" spans="1:19">
      <c r="A42" s="4">
        <f t="shared" si="0"/>
        <v>31</v>
      </c>
      <c r="B42" s="144">
        <v>8081</v>
      </c>
      <c r="C42" s="6" t="s">
        <v>268</v>
      </c>
      <c r="D42" s="214">
        <v>7184511.9900000002</v>
      </c>
      <c r="E42" s="214">
        <v>3885976.22</v>
      </c>
      <c r="F42" s="214">
        <v>2868.24</v>
      </c>
      <c r="G42" s="214">
        <v>0</v>
      </c>
      <c r="H42" s="214">
        <v>0</v>
      </c>
      <c r="I42" s="214">
        <v>3675.16</v>
      </c>
      <c r="J42" s="116">
        <v>0</v>
      </c>
      <c r="K42" s="116">
        <v>0</v>
      </c>
      <c r="L42" s="116">
        <v>7020.851446950589</v>
      </c>
      <c r="M42" s="116">
        <v>1366450.0332614491</v>
      </c>
      <c r="N42" s="116">
        <v>2506972.1407004483</v>
      </c>
      <c r="O42" s="116">
        <v>4613244.7086137692</v>
      </c>
      <c r="P42" s="5">
        <f t="shared" si="1"/>
        <v>19570719.344022617</v>
      </c>
      <c r="Q42" s="6"/>
      <c r="R42" s="6"/>
      <c r="S42" s="6"/>
    </row>
    <row r="43" spans="1:19">
      <c r="A43" s="4">
        <f t="shared" si="0"/>
        <v>32</v>
      </c>
      <c r="B43" s="144">
        <v>8082</v>
      </c>
      <c r="C43" s="6" t="s">
        <v>269</v>
      </c>
      <c r="D43" s="214">
        <v>-13313.93</v>
      </c>
      <c r="E43" s="214">
        <v>-19575.97</v>
      </c>
      <c r="F43" s="214">
        <v>-2019076.98</v>
      </c>
      <c r="G43" s="214">
        <v>-2027059.2</v>
      </c>
      <c r="H43" s="214">
        <v>-2178815.0499999998</v>
      </c>
      <c r="I43" s="214">
        <v>-2188764.84</v>
      </c>
      <c r="J43" s="116">
        <v>-1844394.7160758334</v>
      </c>
      <c r="K43" s="116">
        <v>-1859174.6115852841</v>
      </c>
      <c r="L43" s="116">
        <v>-1911809.4549901001</v>
      </c>
      <c r="M43" s="116">
        <v>-39571.199987311862</v>
      </c>
      <c r="N43" s="116">
        <v>-23111.416870989146</v>
      </c>
      <c r="O43" s="116">
        <v>-2702.2598891013427</v>
      </c>
      <c r="P43" s="5">
        <f t="shared" si="1"/>
        <v>-14127369.62939862</v>
      </c>
      <c r="Q43" s="219"/>
      <c r="S43" s="6"/>
    </row>
    <row r="44" spans="1:19">
      <c r="A44" s="4">
        <f t="shared" si="0"/>
        <v>33</v>
      </c>
      <c r="B44" s="144">
        <v>8120</v>
      </c>
      <c r="C44" s="6" t="s">
        <v>270</v>
      </c>
      <c r="D44" s="214">
        <v>-2015.9000000000015</v>
      </c>
      <c r="E44" s="214">
        <v>-1412.8099999999995</v>
      </c>
      <c r="F44" s="214">
        <v>-678.5</v>
      </c>
      <c r="G44" s="214">
        <v>1025.4499999999998</v>
      </c>
      <c r="H44" s="214">
        <v>142.77999999999997</v>
      </c>
      <c r="I44" s="214">
        <v>83.759999999999991</v>
      </c>
      <c r="J44" s="116">
        <v>187.71343755750141</v>
      </c>
      <c r="K44" s="116">
        <v>-390.76537576086406</v>
      </c>
      <c r="L44" s="116">
        <v>-695.1883551971805</v>
      </c>
      <c r="M44" s="116">
        <v>-1181.6515376327652</v>
      </c>
      <c r="N44" s="116">
        <v>-1047.4497443695257</v>
      </c>
      <c r="O44" s="116">
        <v>-3930.9824905920091</v>
      </c>
      <c r="P44" s="5">
        <f t="shared" si="1"/>
        <v>-9913.5440659948435</v>
      </c>
      <c r="Q44" s="6"/>
      <c r="R44" s="6"/>
      <c r="S44" s="6"/>
    </row>
    <row r="45" spans="1:19">
      <c r="A45" s="4">
        <f t="shared" si="0"/>
        <v>34</v>
      </c>
      <c r="B45" s="144">
        <v>8580</v>
      </c>
      <c r="C45" s="145" t="s">
        <v>271</v>
      </c>
      <c r="D45" s="214">
        <v>2285987.29</v>
      </c>
      <c r="E45" s="214">
        <v>2394375.9200000004</v>
      </c>
      <c r="F45" s="214">
        <v>2018731.38</v>
      </c>
      <c r="G45" s="214">
        <v>1642981.22</v>
      </c>
      <c r="H45" s="214">
        <v>1586611.2600000002</v>
      </c>
      <c r="I45" s="214">
        <v>1568769.92</v>
      </c>
      <c r="J45" s="116">
        <v>931419.67058630218</v>
      </c>
      <c r="K45" s="116">
        <v>860171.64346726995</v>
      </c>
      <c r="L45" s="116">
        <v>1171884.5100152104</v>
      </c>
      <c r="M45" s="116">
        <v>1538127.9432099678</v>
      </c>
      <c r="N45" s="116">
        <v>1422041.5283008995</v>
      </c>
      <c r="O45" s="116">
        <v>1608157.0819724374</v>
      </c>
      <c r="P45" s="5">
        <f t="shared" si="1"/>
        <v>19029259.36755209</v>
      </c>
      <c r="Q45" s="79"/>
      <c r="R45" s="6"/>
      <c r="S45" s="6"/>
    </row>
    <row r="46" spans="1:19" ht="22.5" customHeight="1">
      <c r="A46" s="4">
        <f t="shared" si="0"/>
        <v>35</v>
      </c>
      <c r="B46" s="144">
        <v>8140</v>
      </c>
      <c r="C46" s="6" t="s">
        <v>272</v>
      </c>
      <c r="D46" s="214">
        <v>-284.99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134">
        <v>22.330420019296159</v>
      </c>
      <c r="K46" s="134">
        <v>-6.1132019446031638</v>
      </c>
      <c r="L46" s="134">
        <v>-6.1132019446031638</v>
      </c>
      <c r="M46" s="134">
        <v>-6.1132019446031638</v>
      </c>
      <c r="N46" s="134">
        <v>-6.1132019446031638</v>
      </c>
      <c r="O46" s="134">
        <v>-6.1132019446031638</v>
      </c>
      <c r="P46" s="5">
        <f t="shared" si="1"/>
        <v>-293.22558970371978</v>
      </c>
      <c r="S46" s="6"/>
    </row>
    <row r="47" spans="1:19" ht="21.75" customHeight="1">
      <c r="A47" s="4">
        <f t="shared" si="0"/>
        <v>36</v>
      </c>
      <c r="B47" s="144">
        <v>8160</v>
      </c>
      <c r="C47" s="6" t="s">
        <v>273</v>
      </c>
      <c r="D47" s="214">
        <v>8712.2300000000014</v>
      </c>
      <c r="E47" s="214">
        <v>19621.62</v>
      </c>
      <c r="F47" s="214">
        <v>1888.71</v>
      </c>
      <c r="G47" s="214">
        <v>1878.57</v>
      </c>
      <c r="H47" s="214">
        <v>3796.64</v>
      </c>
      <c r="I47" s="214">
        <v>14701.06</v>
      </c>
      <c r="J47" s="134">
        <v>7593.7941276976335</v>
      </c>
      <c r="K47" s="134">
        <v>7526.715083818478</v>
      </c>
      <c r="L47" s="134">
        <v>7391.6658411395447</v>
      </c>
      <c r="M47" s="134">
        <v>7692.4149339293645</v>
      </c>
      <c r="N47" s="134">
        <v>7389.9760570054805</v>
      </c>
      <c r="O47" s="134">
        <v>7465.1026933774174</v>
      </c>
      <c r="P47" s="5">
        <f t="shared" si="1"/>
        <v>95658.498736967915</v>
      </c>
      <c r="Q47" s="6"/>
      <c r="R47" s="6"/>
      <c r="S47" s="6"/>
    </row>
    <row r="48" spans="1:19">
      <c r="A48" s="4">
        <f t="shared" si="0"/>
        <v>37</v>
      </c>
      <c r="B48" s="144">
        <v>8170</v>
      </c>
      <c r="C48" s="6" t="s">
        <v>274</v>
      </c>
      <c r="D48" s="214">
        <v>8336.66</v>
      </c>
      <c r="E48" s="214">
        <v>4065.4399999999996</v>
      </c>
      <c r="F48" s="214">
        <v>1563.6000000000001</v>
      </c>
      <c r="G48" s="214">
        <v>2088.5899999999997</v>
      </c>
      <c r="H48" s="214">
        <v>2578.9300000000003</v>
      </c>
      <c r="I48" s="214">
        <v>538.5</v>
      </c>
      <c r="J48" s="134">
        <v>3080.0985025229611</v>
      </c>
      <c r="K48" s="134">
        <v>2967.7301136235565</v>
      </c>
      <c r="L48" s="134">
        <v>2866.4260001525176</v>
      </c>
      <c r="M48" s="134">
        <v>3097.9505104991285</v>
      </c>
      <c r="N48" s="134">
        <v>2868.0780769795465</v>
      </c>
      <c r="O48" s="134">
        <v>2935.2038411403068</v>
      </c>
      <c r="P48" s="5">
        <f t="shared" si="1"/>
        <v>36987.207044918017</v>
      </c>
      <c r="Q48" s="6"/>
      <c r="R48" s="6"/>
      <c r="S48" s="6"/>
    </row>
    <row r="49" spans="1:22">
      <c r="A49" s="4">
        <f t="shared" si="0"/>
        <v>38</v>
      </c>
      <c r="B49" s="144">
        <v>8180</v>
      </c>
      <c r="C49" s="6" t="s">
        <v>275</v>
      </c>
      <c r="D49" s="214">
        <v>2110.71</v>
      </c>
      <c r="E49" s="214">
        <v>4870.84</v>
      </c>
      <c r="F49" s="214">
        <v>3731.9700000000003</v>
      </c>
      <c r="G49" s="214">
        <v>-260.41000000000003</v>
      </c>
      <c r="H49" s="214">
        <v>2552.6400000000003</v>
      </c>
      <c r="I49" s="214">
        <v>1489.79</v>
      </c>
      <c r="J49" s="134">
        <v>2180.7374395101324</v>
      </c>
      <c r="K49" s="134">
        <v>2106.6073012938728</v>
      </c>
      <c r="L49" s="134">
        <v>2057.4622556698146</v>
      </c>
      <c r="M49" s="134">
        <v>2208.6090535181556</v>
      </c>
      <c r="N49" s="134">
        <v>2054.9054886632402</v>
      </c>
      <c r="O49" s="134">
        <v>2184.0480395362933</v>
      </c>
      <c r="P49" s="5">
        <f t="shared" si="1"/>
        <v>27287.909578191509</v>
      </c>
      <c r="Q49" s="6"/>
      <c r="R49" s="6"/>
      <c r="S49" s="6"/>
    </row>
    <row r="50" spans="1:22" ht="15.75">
      <c r="A50" s="4">
        <f t="shared" si="0"/>
        <v>39</v>
      </c>
      <c r="B50" s="144">
        <v>8190</v>
      </c>
      <c r="C50" s="6" t="s">
        <v>276</v>
      </c>
      <c r="D50" s="214">
        <v>88.48</v>
      </c>
      <c r="E50" s="214">
        <v>80.42</v>
      </c>
      <c r="F50" s="214">
        <v>77.91</v>
      </c>
      <c r="G50" s="214">
        <v>3.04</v>
      </c>
      <c r="H50" s="214">
        <v>82.04</v>
      </c>
      <c r="I50" s="214">
        <v>82.83</v>
      </c>
      <c r="J50" s="134">
        <v>59.600108295014302</v>
      </c>
      <c r="K50" s="134">
        <v>57.353516188728236</v>
      </c>
      <c r="L50" s="134">
        <v>56.318726135819681</v>
      </c>
      <c r="M50" s="134">
        <v>60.176679992193883</v>
      </c>
      <c r="N50" s="134">
        <v>58.351305405418366</v>
      </c>
      <c r="O50" s="134">
        <v>60.272882166361782</v>
      </c>
      <c r="P50" s="5">
        <f t="shared" si="1"/>
        <v>766.79321818353617</v>
      </c>
      <c r="Q50" s="6"/>
      <c r="R50" s="220"/>
      <c r="S50" s="221"/>
    </row>
    <row r="51" spans="1:22" ht="15.75">
      <c r="A51" s="4">
        <f t="shared" si="0"/>
        <v>40</v>
      </c>
      <c r="B51" s="144">
        <v>8200</v>
      </c>
      <c r="C51" s="6" t="s">
        <v>277</v>
      </c>
      <c r="D51" s="214">
        <v>925.36</v>
      </c>
      <c r="E51" s="214">
        <v>375.88</v>
      </c>
      <c r="F51" s="214">
        <v>-50.620000000000005</v>
      </c>
      <c r="G51" s="214">
        <v>94.17</v>
      </c>
      <c r="H51" s="214">
        <v>94.56</v>
      </c>
      <c r="I51" s="214">
        <v>86.6</v>
      </c>
      <c r="J51" s="134">
        <v>234.21755634862498</v>
      </c>
      <c r="K51" s="134">
        <v>225.47507267761188</v>
      </c>
      <c r="L51" s="134">
        <v>219.15234415944957</v>
      </c>
      <c r="M51" s="134">
        <v>235.65656944169558</v>
      </c>
      <c r="N51" s="134">
        <v>223.5380338624002</v>
      </c>
      <c r="O51" s="134">
        <v>227.68421381215569</v>
      </c>
      <c r="P51" s="5">
        <f t="shared" si="1"/>
        <v>2891.6737903019375</v>
      </c>
      <c r="Q51" s="6"/>
      <c r="R51" s="222"/>
      <c r="S51" s="223"/>
    </row>
    <row r="52" spans="1:22">
      <c r="A52" s="4">
        <f t="shared" si="0"/>
        <v>41</v>
      </c>
      <c r="B52" s="144">
        <v>8210</v>
      </c>
      <c r="C52" s="6" t="s">
        <v>278</v>
      </c>
      <c r="D52" s="214">
        <v>12439.340000000002</v>
      </c>
      <c r="E52" s="214">
        <v>-1434.7399999999998</v>
      </c>
      <c r="F52" s="214">
        <v>-238.72</v>
      </c>
      <c r="G52" s="214">
        <v>459.40999999999997</v>
      </c>
      <c r="H52" s="214">
        <v>425.49</v>
      </c>
      <c r="I52" s="214">
        <v>14630.41</v>
      </c>
      <c r="J52" s="134">
        <v>3831.2966154324054</v>
      </c>
      <c r="K52" s="134">
        <v>3792.4032994337135</v>
      </c>
      <c r="L52" s="134">
        <v>3742.2908847945664</v>
      </c>
      <c r="M52" s="134">
        <v>3871.4299463369716</v>
      </c>
      <c r="N52" s="134">
        <v>3746.6282790941887</v>
      </c>
      <c r="O52" s="134">
        <v>3811.3027844055759</v>
      </c>
      <c r="P52" s="5">
        <f t="shared" si="1"/>
        <v>49076.54180949743</v>
      </c>
      <c r="Q52" s="6"/>
      <c r="R52" s="224"/>
      <c r="S52" s="6"/>
    </row>
    <row r="53" spans="1:22">
      <c r="A53" s="4">
        <f t="shared" si="0"/>
        <v>42</v>
      </c>
      <c r="B53" s="144">
        <v>8240</v>
      </c>
      <c r="C53" s="6" t="s">
        <v>279</v>
      </c>
      <c r="D53" s="214">
        <v>651.09</v>
      </c>
      <c r="E53" s="214">
        <v>30.549999999999997</v>
      </c>
      <c r="F53" s="214">
        <v>25.48</v>
      </c>
      <c r="G53" s="214">
        <v>52.61</v>
      </c>
      <c r="H53" s="214">
        <v>20.02</v>
      </c>
      <c r="I53" s="214">
        <v>0</v>
      </c>
      <c r="J53" s="134">
        <v>102.26398890354869</v>
      </c>
      <c r="K53" s="134">
        <v>98.757307539375049</v>
      </c>
      <c r="L53" s="134">
        <v>98.746649160319009</v>
      </c>
      <c r="M53" s="134">
        <v>105.11658916523702</v>
      </c>
      <c r="N53" s="134">
        <v>99.159453310784343</v>
      </c>
      <c r="O53" s="134">
        <v>113.83917920073242</v>
      </c>
      <c r="P53" s="5">
        <f t="shared" si="1"/>
        <v>1397.6331672799963</v>
      </c>
      <c r="Q53" s="6"/>
      <c r="R53" s="224"/>
      <c r="S53" s="6"/>
    </row>
    <row r="54" spans="1:22">
      <c r="A54" s="4">
        <f t="shared" si="0"/>
        <v>43</v>
      </c>
      <c r="B54" s="144">
        <v>8250</v>
      </c>
      <c r="C54" s="6" t="s">
        <v>280</v>
      </c>
      <c r="D54" s="214">
        <v>2468.6699999999996</v>
      </c>
      <c r="E54" s="214">
        <v>1059.6300000000001</v>
      </c>
      <c r="F54" s="214">
        <v>354.31000000000006</v>
      </c>
      <c r="G54" s="214">
        <v>698.02000000000021</v>
      </c>
      <c r="H54" s="214">
        <v>133.5</v>
      </c>
      <c r="I54" s="214">
        <v>113.09</v>
      </c>
      <c r="J54" s="134">
        <v>669.43689079989656</v>
      </c>
      <c r="K54" s="134">
        <v>606.70017879029103</v>
      </c>
      <c r="L54" s="134">
        <v>595.95554885724027</v>
      </c>
      <c r="M54" s="134">
        <v>636.01419299381087</v>
      </c>
      <c r="N54" s="134">
        <v>617.06061456602174</v>
      </c>
      <c r="O54" s="134">
        <v>637.01309780284305</v>
      </c>
      <c r="P54" s="5">
        <f t="shared" si="1"/>
        <v>8589.4005238101036</v>
      </c>
      <c r="Q54" s="6"/>
      <c r="R54" s="6"/>
      <c r="S54" s="6"/>
    </row>
    <row r="55" spans="1:22">
      <c r="A55" s="4">
        <f t="shared" si="0"/>
        <v>44</v>
      </c>
      <c r="B55" s="144">
        <v>8310</v>
      </c>
      <c r="C55" s="6" t="s">
        <v>281</v>
      </c>
      <c r="D55" s="214">
        <v>600</v>
      </c>
      <c r="E55" s="214">
        <v>0</v>
      </c>
      <c r="F55" s="214">
        <v>750</v>
      </c>
      <c r="G55" s="214">
        <v>0</v>
      </c>
      <c r="H55" s="214">
        <v>300</v>
      </c>
      <c r="I55" s="214">
        <v>600</v>
      </c>
      <c r="J55" s="134">
        <v>311.00629377663699</v>
      </c>
      <c r="K55" s="134">
        <v>314.79626845355949</v>
      </c>
      <c r="L55" s="134">
        <v>314.79626845355949</v>
      </c>
      <c r="M55" s="134">
        <v>314.79626845355949</v>
      </c>
      <c r="N55" s="134">
        <v>314.79626845355949</v>
      </c>
      <c r="O55" s="134">
        <v>314.79626845355949</v>
      </c>
      <c r="P55" s="5">
        <f t="shared" si="1"/>
        <v>4134.987636044435</v>
      </c>
      <c r="Q55" s="6"/>
      <c r="R55" s="224"/>
      <c r="S55" s="6"/>
    </row>
    <row r="56" spans="1:22">
      <c r="A56" s="4">
        <f t="shared" si="0"/>
        <v>45</v>
      </c>
      <c r="B56" s="144">
        <v>8340</v>
      </c>
      <c r="C56" s="6" t="s">
        <v>282</v>
      </c>
      <c r="D56" s="214">
        <v>17.850000000000023</v>
      </c>
      <c r="E56" s="214">
        <v>654.18000000000006</v>
      </c>
      <c r="F56" s="214">
        <v>758.91</v>
      </c>
      <c r="G56" s="214">
        <v>512.27</v>
      </c>
      <c r="H56" s="214">
        <v>-132.81</v>
      </c>
      <c r="I56" s="214">
        <v>0</v>
      </c>
      <c r="J56" s="134">
        <v>250.59512338466823</v>
      </c>
      <c r="K56" s="134">
        <v>241.95126671779744</v>
      </c>
      <c r="L56" s="134">
        <v>239.65025787046426</v>
      </c>
      <c r="M56" s="134">
        <v>256.34838215155514</v>
      </c>
      <c r="N56" s="134">
        <v>238.98339314228315</v>
      </c>
      <c r="O56" s="134">
        <v>268.63173871102919</v>
      </c>
      <c r="P56" s="5">
        <f t="shared" si="1"/>
        <v>3306.5601619777976</v>
      </c>
      <c r="Q56" s="6"/>
      <c r="R56" s="224"/>
      <c r="S56" s="6"/>
    </row>
    <row r="57" spans="1:22">
      <c r="A57" s="4">
        <f t="shared" si="0"/>
        <v>46</v>
      </c>
      <c r="B57" s="144">
        <v>8350</v>
      </c>
      <c r="C57" s="6" t="s">
        <v>283</v>
      </c>
      <c r="D57" s="214">
        <v>1062.48</v>
      </c>
      <c r="E57" s="214">
        <v>-398.43</v>
      </c>
      <c r="F57" s="214">
        <v>0</v>
      </c>
      <c r="G57" s="214">
        <v>536.30999999999995</v>
      </c>
      <c r="H57" s="214">
        <v>-132.81</v>
      </c>
      <c r="I57" s="214">
        <v>173.45</v>
      </c>
      <c r="J57" s="134">
        <v>206.74459526628411</v>
      </c>
      <c r="K57" s="134">
        <v>199.1309755419453</v>
      </c>
      <c r="L57" s="134">
        <v>191.25805437137038</v>
      </c>
      <c r="M57" s="134">
        <v>207.22127434187294</v>
      </c>
      <c r="N57" s="134">
        <v>191.24607022815246</v>
      </c>
      <c r="O57" s="134">
        <v>191.77887696459405</v>
      </c>
      <c r="P57" s="5">
        <f t="shared" si="1"/>
        <v>2428.3798467142192</v>
      </c>
      <c r="Q57" s="6"/>
      <c r="R57" s="224"/>
      <c r="S57" s="6"/>
    </row>
    <row r="58" spans="1:22">
      <c r="A58" s="4">
        <f t="shared" si="0"/>
        <v>47</v>
      </c>
      <c r="B58" s="144">
        <v>8360</v>
      </c>
      <c r="C58" s="6" t="s">
        <v>284</v>
      </c>
      <c r="D58" s="214">
        <v>0</v>
      </c>
      <c r="E58" s="214">
        <v>0</v>
      </c>
      <c r="F58" s="214">
        <v>147.57</v>
      </c>
      <c r="G58" s="214">
        <v>-21.08</v>
      </c>
      <c r="H58" s="214">
        <v>0</v>
      </c>
      <c r="I58" s="214">
        <v>0</v>
      </c>
      <c r="J58" s="134">
        <v>21.168569958337894</v>
      </c>
      <c r="K58" s="134">
        <v>20.387912110986417</v>
      </c>
      <c r="L58" s="134">
        <v>19.568182237875604</v>
      </c>
      <c r="M58" s="134">
        <v>21.207641984097229</v>
      </c>
      <c r="N58" s="134">
        <v>19.568182237875604</v>
      </c>
      <c r="O58" s="134">
        <v>19.568182237875604</v>
      </c>
      <c r="P58" s="5">
        <f t="shared" si="1"/>
        <v>247.95867076704832</v>
      </c>
      <c r="Q58" s="6"/>
      <c r="R58" s="224"/>
      <c r="S58" s="6"/>
    </row>
    <row r="59" spans="1:22">
      <c r="A59" s="4">
        <f t="shared" si="0"/>
        <v>48</v>
      </c>
      <c r="B59" s="144">
        <v>8370</v>
      </c>
      <c r="C59" s="5" t="s">
        <v>126</v>
      </c>
      <c r="D59" s="214"/>
      <c r="E59" s="214"/>
      <c r="F59" s="214"/>
      <c r="G59" s="214"/>
      <c r="H59" s="214"/>
      <c r="I59" s="214"/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5">
        <f t="shared" si="1"/>
        <v>0</v>
      </c>
      <c r="Q59" s="6"/>
      <c r="R59" s="224"/>
      <c r="S59" s="6"/>
    </row>
    <row r="60" spans="1:22">
      <c r="A60" s="4">
        <f t="shared" si="0"/>
        <v>49</v>
      </c>
      <c r="B60" s="144">
        <v>8410</v>
      </c>
      <c r="C60" s="5" t="s">
        <v>285</v>
      </c>
      <c r="D60" s="214">
        <v>3408.6099999999997</v>
      </c>
      <c r="E60" s="214">
        <v>13509.07</v>
      </c>
      <c r="F60" s="214">
        <v>9210.5400000000009</v>
      </c>
      <c r="G60" s="214">
        <v>14340.630000000001</v>
      </c>
      <c r="H60" s="214">
        <v>14108.560000000001</v>
      </c>
      <c r="I60" s="214">
        <v>11974.95</v>
      </c>
      <c r="J60" s="134">
        <v>11021.92956362139</v>
      </c>
      <c r="K60" s="134">
        <v>10660.712774224654</v>
      </c>
      <c r="L60" s="134">
        <v>10209.758126880011</v>
      </c>
      <c r="M60" s="134">
        <v>11065.228844231928</v>
      </c>
      <c r="N60" s="134">
        <v>10206.681045665788</v>
      </c>
      <c r="O60" s="134">
        <v>10211.565679906162</v>
      </c>
      <c r="P60" s="5">
        <f t="shared" si="1"/>
        <v>129928.23603452992</v>
      </c>
      <c r="Q60" s="6"/>
      <c r="R60" s="6"/>
      <c r="S60" s="6"/>
    </row>
    <row r="61" spans="1:22">
      <c r="A61" s="4">
        <f t="shared" si="0"/>
        <v>50</v>
      </c>
      <c r="B61" s="144">
        <v>8520</v>
      </c>
      <c r="C61" s="5" t="s">
        <v>131</v>
      </c>
      <c r="D61" s="214"/>
      <c r="E61" s="214"/>
      <c r="F61" s="214"/>
      <c r="G61" s="214"/>
      <c r="H61" s="214"/>
      <c r="I61" s="214"/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5">
        <f t="shared" si="1"/>
        <v>0</v>
      </c>
      <c r="Q61" s="6"/>
      <c r="R61" s="6"/>
      <c r="S61" s="6"/>
      <c r="U61" s="215"/>
      <c r="V61" s="9"/>
    </row>
    <row r="62" spans="1:22">
      <c r="A62" s="4">
        <f t="shared" si="0"/>
        <v>51</v>
      </c>
      <c r="B62" s="144">
        <v>8550</v>
      </c>
      <c r="C62" s="5" t="s">
        <v>286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29.91</v>
      </c>
      <c r="J62" s="134">
        <v>4.2984163751540265</v>
      </c>
      <c r="K62" s="134">
        <v>4.1363900202663526</v>
      </c>
      <c r="L62" s="134">
        <v>4.0617599795581762</v>
      </c>
      <c r="M62" s="134">
        <v>4.3399992731638681</v>
      </c>
      <c r="N62" s="134">
        <v>4.2083515255499222</v>
      </c>
      <c r="O62" s="134">
        <v>4.3469374652678461</v>
      </c>
      <c r="P62" s="5">
        <f t="shared" si="1"/>
        <v>55.301854638960194</v>
      </c>
      <c r="Q62" s="6"/>
      <c r="R62" s="6"/>
      <c r="S62" s="6"/>
      <c r="U62" s="215"/>
      <c r="V62" s="9"/>
    </row>
    <row r="63" spans="1:22">
      <c r="A63" s="4">
        <f t="shared" si="0"/>
        <v>52</v>
      </c>
      <c r="B63" s="144">
        <v>8560</v>
      </c>
      <c r="C63" s="5" t="s">
        <v>287</v>
      </c>
      <c r="D63" s="214">
        <v>24144.68</v>
      </c>
      <c r="E63" s="214">
        <v>43383.79</v>
      </c>
      <c r="F63" s="214">
        <v>11396.799999999997</v>
      </c>
      <c r="G63" s="214">
        <v>26439.250000000004</v>
      </c>
      <c r="H63" s="214">
        <v>16253.01</v>
      </c>
      <c r="I63" s="214">
        <v>44203.270000000011</v>
      </c>
      <c r="J63" s="134">
        <v>25706.086727191854</v>
      </c>
      <c r="K63" s="134">
        <v>25311.45461596291</v>
      </c>
      <c r="L63" s="134">
        <v>24653.032091058922</v>
      </c>
      <c r="M63" s="134">
        <v>25712.425140535757</v>
      </c>
      <c r="N63" s="134">
        <v>24645.41235729344</v>
      </c>
      <c r="O63" s="134">
        <v>24807.767318910639</v>
      </c>
      <c r="P63" s="5">
        <f t="shared" si="1"/>
        <v>316656.97825095349</v>
      </c>
      <c r="Q63" s="6"/>
      <c r="R63" s="224"/>
      <c r="S63" s="6"/>
    </row>
    <row r="64" spans="1:22">
      <c r="A64" s="4">
        <f t="shared" si="0"/>
        <v>53</v>
      </c>
      <c r="B64" s="144">
        <v>8570</v>
      </c>
      <c r="C64" s="5" t="s">
        <v>288</v>
      </c>
      <c r="D64" s="214">
        <v>7494.5</v>
      </c>
      <c r="E64" s="214">
        <v>543.74</v>
      </c>
      <c r="F64" s="214">
        <v>3496.8999999999996</v>
      </c>
      <c r="G64" s="214">
        <v>4550.3700000000008</v>
      </c>
      <c r="H64" s="214">
        <v>1846.6399999999999</v>
      </c>
      <c r="I64" s="214">
        <v>90.190000000000055</v>
      </c>
      <c r="J64" s="134">
        <v>2843.0817638438634</v>
      </c>
      <c r="K64" s="134">
        <v>2738.7385426229475</v>
      </c>
      <c r="L64" s="134">
        <v>2652.0659513510691</v>
      </c>
      <c r="M64" s="134">
        <v>2861.0098690609793</v>
      </c>
      <c r="N64" s="134">
        <v>2669.6161072468722</v>
      </c>
      <c r="O64" s="134">
        <v>2734.3306191778629</v>
      </c>
      <c r="P64" s="5">
        <f t="shared" si="1"/>
        <v>34521.182853303595</v>
      </c>
      <c r="Q64" s="6"/>
      <c r="R64" s="6"/>
      <c r="S64" s="6"/>
    </row>
    <row r="65" spans="1:19">
      <c r="A65" s="4">
        <f t="shared" si="0"/>
        <v>54</v>
      </c>
      <c r="B65" s="144">
        <v>8630</v>
      </c>
      <c r="C65" s="5" t="s">
        <v>289</v>
      </c>
      <c r="D65" s="214">
        <v>0</v>
      </c>
      <c r="E65" s="214">
        <v>215.03</v>
      </c>
      <c r="F65" s="214">
        <v>897.19999999999993</v>
      </c>
      <c r="G65" s="214">
        <v>-140.82</v>
      </c>
      <c r="H65" s="214">
        <v>1240.4100000000001</v>
      </c>
      <c r="I65" s="214">
        <v>804.21</v>
      </c>
      <c r="J65" s="134">
        <v>504.74379042964534</v>
      </c>
      <c r="K65" s="134">
        <v>486.12976965845797</v>
      </c>
      <c r="L65" s="134">
        <v>466.58411475136342</v>
      </c>
      <c r="M65" s="134">
        <v>505.6754245655527</v>
      </c>
      <c r="N65" s="134">
        <v>466.58411475136342</v>
      </c>
      <c r="O65" s="134">
        <v>466.58411475136342</v>
      </c>
      <c r="P65" s="5">
        <f t="shared" si="1"/>
        <v>5912.3313289077478</v>
      </c>
      <c r="Q65" s="6"/>
      <c r="R65" s="224"/>
      <c r="S65" s="6"/>
    </row>
    <row r="66" spans="1:19">
      <c r="A66" s="4">
        <f t="shared" si="0"/>
        <v>55</v>
      </c>
      <c r="B66" s="144">
        <v>8640</v>
      </c>
      <c r="C66" s="5" t="s">
        <v>290</v>
      </c>
      <c r="D66" s="214"/>
      <c r="E66" s="214"/>
      <c r="F66" s="214"/>
      <c r="G66" s="214"/>
      <c r="H66" s="214"/>
      <c r="I66" s="214"/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5">
        <f t="shared" si="1"/>
        <v>0</v>
      </c>
      <c r="Q66" s="6"/>
      <c r="R66" s="224"/>
      <c r="S66" s="6"/>
    </row>
    <row r="67" spans="1:19">
      <c r="A67" s="4">
        <f t="shared" si="0"/>
        <v>56</v>
      </c>
      <c r="B67" s="144">
        <v>8650</v>
      </c>
      <c r="C67" s="5" t="s">
        <v>291</v>
      </c>
      <c r="D67" s="214">
        <v>0</v>
      </c>
      <c r="E67" s="214">
        <v>0</v>
      </c>
      <c r="F67" s="214">
        <v>2862.96</v>
      </c>
      <c r="G67" s="214">
        <v>279.2</v>
      </c>
      <c r="H67" s="214">
        <v>-177.08</v>
      </c>
      <c r="I67" s="214">
        <v>0</v>
      </c>
      <c r="J67" s="134">
        <v>495.17547036250448</v>
      </c>
      <c r="K67" s="134">
        <v>476.96052625239395</v>
      </c>
      <c r="L67" s="134">
        <v>457.92717579554756</v>
      </c>
      <c r="M67" s="134">
        <v>496.13496245102692</v>
      </c>
      <c r="N67" s="134">
        <v>457.90518786193695</v>
      </c>
      <c r="O67" s="134">
        <v>458.52761459391206</v>
      </c>
      <c r="P67" s="5">
        <f t="shared" si="1"/>
        <v>5807.7109373173216</v>
      </c>
      <c r="Q67" s="6"/>
      <c r="R67" s="6"/>
      <c r="S67" s="6"/>
    </row>
    <row r="68" spans="1:19">
      <c r="A68" s="4">
        <f t="shared" si="0"/>
        <v>57</v>
      </c>
      <c r="B68" s="144">
        <v>8700</v>
      </c>
      <c r="C68" s="5" t="s">
        <v>292</v>
      </c>
      <c r="D68" s="214">
        <v>108924.19999999965</v>
      </c>
      <c r="E68" s="214">
        <v>123894.28000000009</v>
      </c>
      <c r="F68" s="214">
        <v>87335.919999999882</v>
      </c>
      <c r="G68" s="214">
        <v>96211.379999999917</v>
      </c>
      <c r="H68" s="214">
        <v>106036.00999999997</v>
      </c>
      <c r="I68" s="214">
        <v>139540.11999999976</v>
      </c>
      <c r="J68" s="134">
        <v>85750.309745869235</v>
      </c>
      <c r="K68" s="134">
        <v>90006.878738886371</v>
      </c>
      <c r="L68" s="134">
        <v>85219.957839945011</v>
      </c>
      <c r="M68" s="134">
        <v>89919.563668060888</v>
      </c>
      <c r="N68" s="134">
        <v>85932.185833541313</v>
      </c>
      <c r="O68" s="134">
        <v>85018.651079679286</v>
      </c>
      <c r="P68" s="5">
        <f t="shared" si="1"/>
        <v>1183789.4569059813</v>
      </c>
      <c r="Q68" s="6"/>
      <c r="R68" s="224"/>
      <c r="S68" s="6"/>
    </row>
    <row r="69" spans="1:19">
      <c r="A69" s="4">
        <f t="shared" si="0"/>
        <v>58</v>
      </c>
      <c r="B69" s="144">
        <v>8710</v>
      </c>
      <c r="C69" s="5" t="s">
        <v>293</v>
      </c>
      <c r="D69" s="214">
        <v>911.53</v>
      </c>
      <c r="E69" s="214">
        <v>19.5</v>
      </c>
      <c r="F69" s="214">
        <v>21.6</v>
      </c>
      <c r="G69" s="214">
        <v>41.290000000000006</v>
      </c>
      <c r="H69" s="214">
        <v>41.41</v>
      </c>
      <c r="I69" s="214">
        <v>21.52</v>
      </c>
      <c r="J69" s="134">
        <v>151.88168993920203</v>
      </c>
      <c r="K69" s="134">
        <v>146.15659621927432</v>
      </c>
      <c r="L69" s="134">
        <v>143.51959325964756</v>
      </c>
      <c r="M69" s="134">
        <v>153.35099404357183</v>
      </c>
      <c r="N69" s="134">
        <v>148.69930825066649</v>
      </c>
      <c r="O69" s="134">
        <v>153.59615045698172</v>
      </c>
      <c r="P69" s="5">
        <f t="shared" si="1"/>
        <v>1954.0543321693435</v>
      </c>
      <c r="Q69" s="6"/>
      <c r="R69" s="224"/>
      <c r="S69" s="6"/>
    </row>
    <row r="70" spans="1:19">
      <c r="A70" s="4">
        <f t="shared" si="0"/>
        <v>59</v>
      </c>
      <c r="B70" s="144">
        <v>8711</v>
      </c>
      <c r="C70" s="212" t="s">
        <v>294</v>
      </c>
      <c r="D70" s="214">
        <v>0</v>
      </c>
      <c r="E70" s="214">
        <v>0</v>
      </c>
      <c r="F70" s="214">
        <v>0</v>
      </c>
      <c r="G70" s="214">
        <v>5985.9</v>
      </c>
      <c r="H70" s="214">
        <v>0</v>
      </c>
      <c r="I70" s="214">
        <v>0</v>
      </c>
      <c r="J70" s="134">
        <v>767.36853343164273</v>
      </c>
      <c r="K70" s="134">
        <v>741.74361145870284</v>
      </c>
      <c r="L70" s="134">
        <v>745.15439402452182</v>
      </c>
      <c r="M70" s="134">
        <v>792.45931606185661</v>
      </c>
      <c r="N70" s="134">
        <v>742.17037227376738</v>
      </c>
      <c r="O70" s="134">
        <v>874.83791984721836</v>
      </c>
      <c r="P70" s="5">
        <f t="shared" si="1"/>
        <v>10649.634147097708</v>
      </c>
      <c r="Q70" s="6"/>
      <c r="R70" s="224"/>
      <c r="S70" s="6"/>
    </row>
    <row r="71" spans="1:19">
      <c r="A71" s="4">
        <f t="shared" si="0"/>
        <v>60</v>
      </c>
      <c r="B71" s="144">
        <v>8720</v>
      </c>
      <c r="C71" s="212" t="s">
        <v>295</v>
      </c>
      <c r="D71" s="214"/>
      <c r="E71" s="214"/>
      <c r="F71" s="214"/>
      <c r="G71" s="214"/>
      <c r="H71" s="214"/>
      <c r="I71" s="214"/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5">
        <f t="shared" si="1"/>
        <v>0</v>
      </c>
      <c r="Q71" s="6"/>
      <c r="R71" s="224"/>
      <c r="S71" s="6"/>
    </row>
    <row r="72" spans="1:19">
      <c r="A72" s="4">
        <f t="shared" si="0"/>
        <v>61</v>
      </c>
      <c r="B72" s="144">
        <v>8740</v>
      </c>
      <c r="C72" s="6" t="s">
        <v>296</v>
      </c>
      <c r="D72" s="214">
        <v>337866.07</v>
      </c>
      <c r="E72" s="214">
        <v>322093.16000000003</v>
      </c>
      <c r="F72" s="214">
        <v>299562.99000000011</v>
      </c>
      <c r="G72" s="214">
        <v>331434.98000000004</v>
      </c>
      <c r="H72" s="214">
        <v>348644.54999999987</v>
      </c>
      <c r="I72" s="214">
        <v>297225.92</v>
      </c>
      <c r="J72" s="134">
        <v>307262.12748637539</v>
      </c>
      <c r="K72" s="134">
        <v>302016.25862799911</v>
      </c>
      <c r="L72" s="134">
        <v>291363.05767837632</v>
      </c>
      <c r="M72" s="134">
        <v>303289.01788535865</v>
      </c>
      <c r="N72" s="134">
        <v>290794.34288298659</v>
      </c>
      <c r="O72" s="134">
        <v>292439.46788492642</v>
      </c>
      <c r="P72" s="5">
        <f t="shared" si="1"/>
        <v>3723991.9424460223</v>
      </c>
      <c r="Q72" s="6"/>
      <c r="R72" s="224"/>
      <c r="S72" s="6"/>
    </row>
    <row r="73" spans="1:19">
      <c r="A73" s="4">
        <f t="shared" si="0"/>
        <v>62</v>
      </c>
      <c r="B73" s="144">
        <v>8750</v>
      </c>
      <c r="C73" s="6" t="s">
        <v>297</v>
      </c>
      <c r="D73" s="214">
        <v>40672.54</v>
      </c>
      <c r="E73" s="214">
        <v>12822.8</v>
      </c>
      <c r="F73" s="214">
        <v>59894.830000000009</v>
      </c>
      <c r="G73" s="214">
        <v>30927.120000000006</v>
      </c>
      <c r="H73" s="214">
        <v>39263.279999999992</v>
      </c>
      <c r="I73" s="214">
        <v>22811.64</v>
      </c>
      <c r="J73" s="134">
        <v>33282.670508539064</v>
      </c>
      <c r="K73" s="134">
        <v>32194.740740770805</v>
      </c>
      <c r="L73" s="134">
        <v>31033.886043972499</v>
      </c>
      <c r="M73" s="134">
        <v>33494.685036657123</v>
      </c>
      <c r="N73" s="134">
        <v>31038.720358605067</v>
      </c>
      <c r="O73" s="134">
        <v>31562.867538473729</v>
      </c>
      <c r="P73" s="5">
        <f t="shared" si="1"/>
        <v>398999.7802270184</v>
      </c>
      <c r="Q73" s="6"/>
      <c r="R73" s="224"/>
      <c r="S73" s="6"/>
    </row>
    <row r="74" spans="1:19">
      <c r="A74" s="4">
        <f t="shared" si="0"/>
        <v>63</v>
      </c>
      <c r="B74" s="144">
        <v>8760</v>
      </c>
      <c r="C74" s="6" t="s">
        <v>298</v>
      </c>
      <c r="D74" s="214">
        <v>1931.5</v>
      </c>
      <c r="E74" s="214">
        <v>534.79</v>
      </c>
      <c r="F74" s="214">
        <v>2812.65</v>
      </c>
      <c r="G74" s="214">
        <v>2681.4599999999996</v>
      </c>
      <c r="H74" s="214">
        <v>3657.0099999999998</v>
      </c>
      <c r="I74" s="214">
        <v>6084.99</v>
      </c>
      <c r="J74" s="134">
        <v>2708.1713370204261</v>
      </c>
      <c r="K74" s="134">
        <v>2616.3609988874796</v>
      </c>
      <c r="L74" s="134">
        <v>2548.4311522267481</v>
      </c>
      <c r="M74" s="134">
        <v>2737.6538887385541</v>
      </c>
      <c r="N74" s="134">
        <v>2545.4892195447078</v>
      </c>
      <c r="O74" s="134">
        <v>2676.285516171497</v>
      </c>
      <c r="P74" s="5">
        <f t="shared" si="1"/>
        <v>33534.792112589414</v>
      </c>
      <c r="Q74" s="6"/>
      <c r="R74" s="224"/>
      <c r="S74" s="6"/>
    </row>
    <row r="75" spans="1:19">
      <c r="A75" s="4">
        <f t="shared" si="0"/>
        <v>64</v>
      </c>
      <c r="B75" s="144">
        <v>8770</v>
      </c>
      <c r="C75" s="6" t="s">
        <v>299</v>
      </c>
      <c r="D75" s="214">
        <v>4439.130000000001</v>
      </c>
      <c r="E75" s="214">
        <v>3366.64</v>
      </c>
      <c r="F75" s="214">
        <v>4994.420000000001</v>
      </c>
      <c r="G75" s="214">
        <v>11335.130000000001</v>
      </c>
      <c r="H75" s="214">
        <v>23157.57</v>
      </c>
      <c r="I75" s="214">
        <v>21429.11</v>
      </c>
      <c r="J75" s="134">
        <v>9202.0926152701104</v>
      </c>
      <c r="K75" s="134">
        <v>8917.5967067050788</v>
      </c>
      <c r="L75" s="134">
        <v>8891.0151730878861</v>
      </c>
      <c r="M75" s="134">
        <v>9440.3619010978964</v>
      </c>
      <c r="N75" s="134">
        <v>8879.5404558222072</v>
      </c>
      <c r="O75" s="134">
        <v>10077.374849008364</v>
      </c>
      <c r="P75" s="5">
        <f t="shared" si="1"/>
        <v>124129.98170099156</v>
      </c>
      <c r="Q75" s="6"/>
      <c r="R75" s="224"/>
      <c r="S75" s="6"/>
    </row>
    <row r="76" spans="1:19">
      <c r="A76" s="4">
        <f t="shared" si="0"/>
        <v>65</v>
      </c>
      <c r="B76" s="144">
        <v>8780</v>
      </c>
      <c r="C76" s="6" t="s">
        <v>300</v>
      </c>
      <c r="D76" s="214">
        <v>85679.659999999931</v>
      </c>
      <c r="E76" s="214">
        <v>77707.450000000012</v>
      </c>
      <c r="F76" s="214">
        <v>66202.750000000029</v>
      </c>
      <c r="G76" s="214">
        <v>70824.289999999979</v>
      </c>
      <c r="H76" s="214">
        <v>80798.549999999974</v>
      </c>
      <c r="I76" s="214">
        <v>76264.640000000014</v>
      </c>
      <c r="J76" s="134">
        <v>74823.42606696047</v>
      </c>
      <c r="K76" s="134">
        <v>73201.916641918055</v>
      </c>
      <c r="L76" s="134">
        <v>69821.200329972635</v>
      </c>
      <c r="M76" s="134">
        <v>75627.355273199879</v>
      </c>
      <c r="N76" s="134">
        <v>69757.153407336998</v>
      </c>
      <c r="O76" s="134">
        <v>70147.61465378289</v>
      </c>
      <c r="P76" s="5">
        <f t="shared" si="1"/>
        <v>890856.00637317088</v>
      </c>
      <c r="Q76" s="6"/>
      <c r="R76" s="224"/>
      <c r="S76" s="6"/>
    </row>
    <row r="77" spans="1:19">
      <c r="A77" s="4">
        <f t="shared" ref="A77:A110" si="3">A76+1</f>
        <v>66</v>
      </c>
      <c r="B77" s="144">
        <v>8790</v>
      </c>
      <c r="C77" s="6" t="s">
        <v>301</v>
      </c>
      <c r="D77" s="214">
        <v>0</v>
      </c>
      <c r="E77" s="214">
        <v>89.92</v>
      </c>
      <c r="F77" s="214">
        <v>0</v>
      </c>
      <c r="G77" s="214">
        <v>93.84</v>
      </c>
      <c r="H77" s="214">
        <v>239.02</v>
      </c>
      <c r="I77" s="214">
        <v>0</v>
      </c>
      <c r="J77" s="134">
        <v>54.198711733278181</v>
      </c>
      <c r="K77" s="134">
        <v>52.388841118714033</v>
      </c>
      <c r="L77" s="134">
        <v>52.629742345459711</v>
      </c>
      <c r="M77" s="134">
        <v>55.970856453437534</v>
      </c>
      <c r="N77" s="134">
        <v>52.418982941563229</v>
      </c>
      <c r="O77" s="134">
        <v>61.789200580197956</v>
      </c>
      <c r="P77" s="5">
        <f t="shared" si="1"/>
        <v>752.17633517265062</v>
      </c>
      <c r="Q77" s="6"/>
      <c r="R77" s="224"/>
      <c r="S77" s="6"/>
    </row>
    <row r="78" spans="1:19">
      <c r="A78" s="4">
        <f t="shared" si="3"/>
        <v>67</v>
      </c>
      <c r="B78" s="144">
        <v>8800</v>
      </c>
      <c r="C78" s="6" t="s">
        <v>302</v>
      </c>
      <c r="D78" s="214">
        <v>16986.450000000004</v>
      </c>
      <c r="E78" s="214">
        <v>25978.430000000004</v>
      </c>
      <c r="F78" s="214">
        <v>22518.890000000007</v>
      </c>
      <c r="G78" s="214">
        <v>10693.5</v>
      </c>
      <c r="H78" s="214">
        <v>19224.150000000001</v>
      </c>
      <c r="I78" s="214">
        <v>11344.840000000002</v>
      </c>
      <c r="J78" s="134">
        <v>17668.148665740122</v>
      </c>
      <c r="K78" s="134">
        <v>17075.216457477589</v>
      </c>
      <c r="L78" s="134">
        <v>16389.881773423713</v>
      </c>
      <c r="M78" s="134">
        <v>17754.711372576858</v>
      </c>
      <c r="N78" s="134">
        <v>16382.527791479786</v>
      </c>
      <c r="O78" s="134">
        <v>16457.808903700174</v>
      </c>
      <c r="P78" s="5">
        <f t="shared" ref="P78:P105" si="4">SUM(D78:O78)</f>
        <v>208474.55496439827</v>
      </c>
      <c r="Q78" s="6"/>
      <c r="R78" s="6"/>
      <c r="S78" s="6"/>
    </row>
    <row r="79" spans="1:19">
      <c r="A79" s="4">
        <f t="shared" si="3"/>
        <v>68</v>
      </c>
      <c r="B79" s="144">
        <v>8810</v>
      </c>
      <c r="C79" s="6" t="s">
        <v>303</v>
      </c>
      <c r="D79" s="214">
        <v>40817.600000000013</v>
      </c>
      <c r="E79" s="214">
        <v>37698.920000000027</v>
      </c>
      <c r="F79" s="214">
        <v>43548.709999999992</v>
      </c>
      <c r="G79" s="214">
        <v>34962.680000000008</v>
      </c>
      <c r="H79" s="214">
        <v>43046.65</v>
      </c>
      <c r="I79" s="214">
        <v>40699.689999999995</v>
      </c>
      <c r="J79" s="134">
        <v>34547.542391144925</v>
      </c>
      <c r="K79" s="134">
        <v>33307.809598304302</v>
      </c>
      <c r="L79" s="134">
        <v>32730.57384238685</v>
      </c>
      <c r="M79" s="134">
        <v>34885.831034904106</v>
      </c>
      <c r="N79" s="134">
        <v>33864.602026288732</v>
      </c>
      <c r="O79" s="134">
        <v>34943.875593847806</v>
      </c>
      <c r="P79" s="5">
        <f t="shared" si="4"/>
        <v>445054.48448687675</v>
      </c>
      <c r="Q79" s="6"/>
      <c r="R79" s="6"/>
      <c r="S79" s="6"/>
    </row>
    <row r="80" spans="1:19">
      <c r="A80" s="4">
        <f t="shared" si="3"/>
        <v>69</v>
      </c>
      <c r="B80" s="144">
        <v>8850</v>
      </c>
      <c r="C80" s="6" t="s">
        <v>304</v>
      </c>
      <c r="D80" s="214">
        <v>36.800000000000004</v>
      </c>
      <c r="E80" s="214">
        <v>185.37</v>
      </c>
      <c r="F80" s="214">
        <v>184.67000000000002</v>
      </c>
      <c r="G80" s="214">
        <v>139.76</v>
      </c>
      <c r="H80" s="214">
        <v>0</v>
      </c>
      <c r="I80" s="214">
        <v>303.67</v>
      </c>
      <c r="J80" s="134">
        <v>232.82746424499894</v>
      </c>
      <c r="K80" s="134">
        <v>169.48722224643484</v>
      </c>
      <c r="L80" s="134">
        <v>183.52989198376892</v>
      </c>
      <c r="M80" s="134">
        <v>188.9909302149544</v>
      </c>
      <c r="N80" s="134">
        <v>169.48722224643484</v>
      </c>
      <c r="O80" s="134">
        <v>169.48722224643484</v>
      </c>
      <c r="P80" s="5">
        <f t="shared" si="4"/>
        <v>1964.0799531830269</v>
      </c>
      <c r="Q80" s="6"/>
      <c r="R80" s="6"/>
      <c r="S80" s="6"/>
    </row>
    <row r="81" spans="1:21">
      <c r="A81" s="4">
        <f t="shared" si="3"/>
        <v>70</v>
      </c>
      <c r="B81" s="144">
        <v>8860</v>
      </c>
      <c r="C81" s="6" t="s">
        <v>305</v>
      </c>
      <c r="D81" s="214">
        <v>11626.65</v>
      </c>
      <c r="E81" s="214">
        <v>40.28</v>
      </c>
      <c r="F81" s="214">
        <v>621.80999999999995</v>
      </c>
      <c r="G81" s="214">
        <v>221.49</v>
      </c>
      <c r="H81" s="214">
        <v>88.94</v>
      </c>
      <c r="I81" s="214">
        <v>41.27</v>
      </c>
      <c r="J81" s="134">
        <v>1816.5788794768296</v>
      </c>
      <c r="K81" s="134">
        <v>1748.1039741817324</v>
      </c>
      <c r="L81" s="134">
        <v>1716.5641362757058</v>
      </c>
      <c r="M81" s="134">
        <v>1834.1524711625373</v>
      </c>
      <c r="N81" s="134">
        <v>1778.5160467275914</v>
      </c>
      <c r="O81" s="134">
        <v>1837.0846610989736</v>
      </c>
      <c r="P81" s="5">
        <f t="shared" si="4"/>
        <v>23371.440168923371</v>
      </c>
      <c r="Q81" s="6"/>
      <c r="R81" s="6"/>
      <c r="S81" s="6"/>
    </row>
    <row r="82" spans="1:21">
      <c r="A82" s="4">
        <f t="shared" si="3"/>
        <v>71</v>
      </c>
      <c r="B82" s="144">
        <v>8870</v>
      </c>
      <c r="C82" s="6" t="s">
        <v>306</v>
      </c>
      <c r="D82" s="214">
        <v>6566.5400000000009</v>
      </c>
      <c r="E82" s="214">
        <v>1572.31</v>
      </c>
      <c r="F82" s="214">
        <v>7188.92</v>
      </c>
      <c r="G82" s="214">
        <v>2092.4700000000007</v>
      </c>
      <c r="H82" s="214">
        <v>4112.07</v>
      </c>
      <c r="I82" s="214">
        <v>3428.97</v>
      </c>
      <c r="J82" s="134">
        <v>3814.2485201239683</v>
      </c>
      <c r="K82" s="134">
        <v>3487.0083311958811</v>
      </c>
      <c r="L82" s="134">
        <v>3377.0821008988346</v>
      </c>
      <c r="M82" s="134">
        <v>3607.4173354408717</v>
      </c>
      <c r="N82" s="134">
        <v>3376.5041800488957</v>
      </c>
      <c r="O82" s="134">
        <v>3402.1981421768801</v>
      </c>
      <c r="P82" s="5">
        <f t="shared" si="4"/>
        <v>46025.738609885331</v>
      </c>
      <c r="Q82" s="6"/>
      <c r="R82" s="225"/>
      <c r="S82" s="6"/>
    </row>
    <row r="83" spans="1:21">
      <c r="A83" s="4">
        <f t="shared" si="3"/>
        <v>72</v>
      </c>
      <c r="B83" s="144">
        <v>8890</v>
      </c>
      <c r="C83" s="226" t="s">
        <v>307</v>
      </c>
      <c r="D83" s="214">
        <v>183.17</v>
      </c>
      <c r="E83" s="214">
        <v>176.64</v>
      </c>
      <c r="F83" s="214">
        <v>0</v>
      </c>
      <c r="G83" s="214">
        <v>0</v>
      </c>
      <c r="H83" s="214">
        <v>0</v>
      </c>
      <c r="I83" s="214">
        <v>3405.21</v>
      </c>
      <c r="J83" s="134">
        <v>482.66056495110234</v>
      </c>
      <c r="K83" s="134">
        <v>466.54296463593533</v>
      </c>
      <c r="L83" s="134">
        <v>468.68828356474467</v>
      </c>
      <c r="M83" s="134">
        <v>498.44220153347226</v>
      </c>
      <c r="N83" s="134">
        <v>466.81138926780932</v>
      </c>
      <c r="O83" s="134">
        <v>550.25681434423802</v>
      </c>
      <c r="P83" s="5">
        <f t="shared" si="4"/>
        <v>6698.4222182973017</v>
      </c>
      <c r="Q83" s="6"/>
      <c r="R83" s="6"/>
      <c r="S83" s="6"/>
    </row>
    <row r="84" spans="1:21">
      <c r="A84" s="4">
        <f t="shared" si="3"/>
        <v>73</v>
      </c>
      <c r="B84" s="144">
        <v>8900</v>
      </c>
      <c r="C84" s="6" t="s">
        <v>308</v>
      </c>
      <c r="D84" s="214">
        <v>0</v>
      </c>
      <c r="E84" s="214">
        <v>458.34000000000003</v>
      </c>
      <c r="F84" s="214">
        <v>4685.16</v>
      </c>
      <c r="G84" s="214">
        <v>488.02</v>
      </c>
      <c r="H84" s="214">
        <v>341.08</v>
      </c>
      <c r="I84" s="214">
        <v>0</v>
      </c>
      <c r="J84" s="134">
        <v>765.66352641604931</v>
      </c>
      <c r="K84" s="134">
        <v>740.09554015239951</v>
      </c>
      <c r="L84" s="134">
        <v>743.49874434101116</v>
      </c>
      <c r="M84" s="134">
        <v>790.69856013482433</v>
      </c>
      <c r="N84" s="134">
        <v>740.52135275268597</v>
      </c>
      <c r="O84" s="134">
        <v>872.89412788043512</v>
      </c>
      <c r="P84" s="5">
        <f t="shared" si="4"/>
        <v>10625.971851677408</v>
      </c>
      <c r="Q84" s="6"/>
      <c r="R84" s="6"/>
      <c r="S84" s="6"/>
    </row>
    <row r="85" spans="1:21">
      <c r="A85" s="4">
        <f t="shared" si="3"/>
        <v>74</v>
      </c>
      <c r="B85" s="144">
        <v>8910</v>
      </c>
      <c r="C85" s="6" t="s">
        <v>309</v>
      </c>
      <c r="D85" s="214">
        <v>0</v>
      </c>
      <c r="E85" s="214">
        <v>6514.98</v>
      </c>
      <c r="F85" s="214">
        <v>1048.92</v>
      </c>
      <c r="G85" s="214">
        <v>669.78</v>
      </c>
      <c r="H85" s="214">
        <v>5814.73</v>
      </c>
      <c r="I85" s="214">
        <v>280.12</v>
      </c>
      <c r="J85" s="134">
        <v>1899.3749309618656</v>
      </c>
      <c r="K85" s="134">
        <v>1872.3167403570633</v>
      </c>
      <c r="L85" s="134">
        <v>1876.3177650563996</v>
      </c>
      <c r="M85" s="134">
        <v>1944.1085121296842</v>
      </c>
      <c r="N85" s="134">
        <v>1873.5787557521091</v>
      </c>
      <c r="O85" s="134">
        <v>2057.689002606026</v>
      </c>
      <c r="P85" s="5">
        <f t="shared" si="4"/>
        <v>25851.91570686315</v>
      </c>
      <c r="Q85" s="6"/>
      <c r="R85" s="6"/>
      <c r="S85" s="6"/>
    </row>
    <row r="86" spans="1:21">
      <c r="A86" s="4">
        <f t="shared" si="3"/>
        <v>75</v>
      </c>
      <c r="B86" s="144">
        <v>8920</v>
      </c>
      <c r="C86" s="6" t="s">
        <v>310</v>
      </c>
      <c r="D86" s="214">
        <v>407.76</v>
      </c>
      <c r="E86" s="214">
        <v>651.98</v>
      </c>
      <c r="F86" s="214">
        <v>-5.0000000000000053</v>
      </c>
      <c r="G86" s="214">
        <v>-26.340000000000003</v>
      </c>
      <c r="H86" s="214">
        <v>0</v>
      </c>
      <c r="I86" s="214">
        <v>827.30000000000007</v>
      </c>
      <c r="J86" s="134">
        <v>297.04769077061832</v>
      </c>
      <c r="K86" s="134">
        <v>286.24726236807982</v>
      </c>
      <c r="L86" s="134">
        <v>276.65382800639537</v>
      </c>
      <c r="M86" s="134">
        <v>298.96057208149267</v>
      </c>
      <c r="N86" s="134">
        <v>276.48182763474483</v>
      </c>
      <c r="O86" s="134">
        <v>284.1288454498216</v>
      </c>
      <c r="P86" s="5">
        <f t="shared" si="4"/>
        <v>3575.2200263111527</v>
      </c>
      <c r="Q86" s="6"/>
      <c r="R86" s="6"/>
      <c r="S86" s="6"/>
    </row>
    <row r="87" spans="1:21">
      <c r="A87" s="4">
        <f t="shared" si="3"/>
        <v>76</v>
      </c>
      <c r="B87" s="144">
        <v>8930</v>
      </c>
      <c r="C87" s="6" t="s">
        <v>311</v>
      </c>
      <c r="D87" s="214">
        <v>7219.07</v>
      </c>
      <c r="E87" s="214">
        <v>6049.89</v>
      </c>
      <c r="F87" s="214">
        <v>6481.26</v>
      </c>
      <c r="G87" s="214">
        <v>9382.41</v>
      </c>
      <c r="H87" s="214">
        <v>11681.470000000001</v>
      </c>
      <c r="I87" s="214">
        <v>12949.92</v>
      </c>
      <c r="J87" s="134">
        <v>8990.5007429160269</v>
      </c>
      <c r="K87" s="134">
        <v>8659.0287301657536</v>
      </c>
      <c r="L87" s="134">
        <v>8311.885787443256</v>
      </c>
      <c r="M87" s="134">
        <v>9007.8128559052038</v>
      </c>
      <c r="N87" s="134">
        <v>8311.7953081589785</v>
      </c>
      <c r="O87" s="134">
        <v>8315.8179546924293</v>
      </c>
      <c r="P87" s="5">
        <f t="shared" si="4"/>
        <v>105360.86137928165</v>
      </c>
      <c r="Q87" s="6"/>
      <c r="R87" s="6"/>
      <c r="S87" s="6"/>
    </row>
    <row r="88" spans="1:21">
      <c r="A88" s="4">
        <f t="shared" si="3"/>
        <v>77</v>
      </c>
      <c r="B88" s="144">
        <v>8940</v>
      </c>
      <c r="C88" s="6" t="s">
        <v>312</v>
      </c>
      <c r="D88" s="214">
        <v>-939.4200000000003</v>
      </c>
      <c r="E88" s="214">
        <v>3275.94</v>
      </c>
      <c r="F88" s="214">
        <v>2206.33</v>
      </c>
      <c r="G88" s="214">
        <v>22510.9</v>
      </c>
      <c r="H88" s="214">
        <v>3953.74</v>
      </c>
      <c r="I88" s="214">
        <v>7867.85</v>
      </c>
      <c r="J88" s="134">
        <v>5288.7890018109356</v>
      </c>
      <c r="K88" s="134">
        <v>5485.0007363785426</v>
      </c>
      <c r="L88" s="134">
        <v>5495.0960815500166</v>
      </c>
      <c r="M88" s="134">
        <v>5639.3150559749147</v>
      </c>
      <c r="N88" s="134">
        <v>5485.9961985711743</v>
      </c>
      <c r="O88" s="134">
        <v>5890.5707153967542</v>
      </c>
      <c r="P88" s="5">
        <f t="shared" si="4"/>
        <v>72160.107789682326</v>
      </c>
      <c r="Q88" s="6"/>
      <c r="R88" s="6"/>
      <c r="S88" s="6"/>
    </row>
    <row r="89" spans="1:21">
      <c r="A89" s="4">
        <f t="shared" si="3"/>
        <v>78</v>
      </c>
      <c r="B89" s="144">
        <v>9020</v>
      </c>
      <c r="C89" s="6" t="s">
        <v>313</v>
      </c>
      <c r="D89" s="214">
        <v>91878.500000000029</v>
      </c>
      <c r="E89" s="214">
        <v>121879.09000000003</v>
      </c>
      <c r="F89" s="214">
        <v>107089.14999999998</v>
      </c>
      <c r="G89" s="214">
        <v>114825.07</v>
      </c>
      <c r="H89" s="214">
        <v>114277.70999999999</v>
      </c>
      <c r="I89" s="214">
        <v>98163.079999999987</v>
      </c>
      <c r="J89" s="134">
        <v>91904.068009899143</v>
      </c>
      <c r="K89" s="134">
        <v>93767.564472194528</v>
      </c>
      <c r="L89" s="134">
        <v>91733.621204861323</v>
      </c>
      <c r="M89" s="134">
        <v>93868.778369874664</v>
      </c>
      <c r="N89" s="134">
        <v>91595.312056961542</v>
      </c>
      <c r="O89" s="134">
        <v>91785.63105843676</v>
      </c>
      <c r="P89" s="5">
        <f t="shared" si="4"/>
        <v>1202767.575172228</v>
      </c>
      <c r="Q89" s="79"/>
      <c r="R89" s="79"/>
      <c r="S89" s="79"/>
      <c r="T89" s="79"/>
      <c r="U89" s="79"/>
    </row>
    <row r="90" spans="1:21">
      <c r="A90" s="4">
        <f t="shared" si="3"/>
        <v>79</v>
      </c>
      <c r="B90" s="144">
        <v>9030</v>
      </c>
      <c r="C90" s="6" t="s">
        <v>314</v>
      </c>
      <c r="D90" s="214">
        <v>29218.420000000002</v>
      </c>
      <c r="E90" s="214">
        <v>33171.21</v>
      </c>
      <c r="F90" s="214">
        <v>42346.360000000008</v>
      </c>
      <c r="G90" s="214">
        <v>35783.969999999994</v>
      </c>
      <c r="H90" s="214">
        <v>32199.81</v>
      </c>
      <c r="I90" s="214">
        <v>22339.380000000008</v>
      </c>
      <c r="J90" s="134">
        <v>31821.260962221946</v>
      </c>
      <c r="K90" s="134">
        <v>31227.064302774084</v>
      </c>
      <c r="L90" s="134">
        <v>29830.539000543515</v>
      </c>
      <c r="M90" s="134">
        <v>32309.83711962531</v>
      </c>
      <c r="N90" s="134">
        <v>29754.276383339547</v>
      </c>
      <c r="O90" s="134">
        <v>29867.456777517975</v>
      </c>
      <c r="P90" s="5">
        <f t="shared" si="4"/>
        <v>379869.58454602241</v>
      </c>
      <c r="Q90" s="79"/>
      <c r="R90" s="79"/>
      <c r="S90" s="79"/>
      <c r="T90" s="79"/>
      <c r="U90" s="79"/>
    </row>
    <row r="91" spans="1:21">
      <c r="A91" s="4">
        <f t="shared" si="3"/>
        <v>80</v>
      </c>
      <c r="B91" s="144">
        <v>9040</v>
      </c>
      <c r="C91" s="6" t="s">
        <v>315</v>
      </c>
      <c r="D91" s="214">
        <v>116325</v>
      </c>
      <c r="E91" s="214">
        <v>24247</v>
      </c>
      <c r="F91" s="214">
        <v>19571</v>
      </c>
      <c r="G91" s="214">
        <v>175706</v>
      </c>
      <c r="H91" s="214">
        <v>19482</v>
      </c>
      <c r="I91" s="214">
        <v>19404</v>
      </c>
      <c r="J91" s="134">
        <v>19353.669999999998</v>
      </c>
      <c r="K91" s="134">
        <v>23326.492099999999</v>
      </c>
      <c r="L91" s="134">
        <v>28927.181799999998</v>
      </c>
      <c r="M91" s="134">
        <v>38323.659299999999</v>
      </c>
      <c r="N91" s="134">
        <v>43791.047299999998</v>
      </c>
      <c r="O91" s="134">
        <v>35864.659899999999</v>
      </c>
      <c r="P91" s="5">
        <f t="shared" si="4"/>
        <v>564321.71039999998</v>
      </c>
      <c r="Q91" s="6"/>
      <c r="R91" s="6"/>
      <c r="S91" s="6"/>
    </row>
    <row r="92" spans="1:21">
      <c r="A92" s="4">
        <f t="shared" si="3"/>
        <v>81</v>
      </c>
      <c r="B92" s="144">
        <v>9090</v>
      </c>
      <c r="C92" s="6" t="s">
        <v>316</v>
      </c>
      <c r="D92" s="214">
        <v>13254.63</v>
      </c>
      <c r="E92" s="214">
        <v>10828.580000000002</v>
      </c>
      <c r="F92" s="214">
        <v>10459.480000000001</v>
      </c>
      <c r="G92" s="214">
        <v>9693.25</v>
      </c>
      <c r="H92" s="214">
        <v>9061</v>
      </c>
      <c r="I92" s="214">
        <v>11759.7</v>
      </c>
      <c r="J92" s="134">
        <v>10077.151073149667</v>
      </c>
      <c r="K92" s="134">
        <v>10445.978825107728</v>
      </c>
      <c r="L92" s="134">
        <v>9702.8456945889011</v>
      </c>
      <c r="M92" s="134">
        <v>10477.361251187627</v>
      </c>
      <c r="N92" s="134">
        <v>9684.9952905439059</v>
      </c>
      <c r="O92" s="134">
        <v>9707.4605098010543</v>
      </c>
      <c r="P92" s="5">
        <f t="shared" si="4"/>
        <v>125152.43264437889</v>
      </c>
      <c r="Q92" s="6"/>
      <c r="R92" s="6"/>
      <c r="S92" s="6"/>
    </row>
    <row r="93" spans="1:21">
      <c r="A93" s="4">
        <f t="shared" si="3"/>
        <v>82</v>
      </c>
      <c r="B93" s="144">
        <v>9100</v>
      </c>
      <c r="C93" s="6" t="s">
        <v>317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85</v>
      </c>
      <c r="J93" s="134">
        <v>20.804444358192605</v>
      </c>
      <c r="K93" s="134">
        <v>19.059756159003275</v>
      </c>
      <c r="L93" s="134">
        <v>11.74575177838436</v>
      </c>
      <c r="M93" s="134">
        <v>8.2054167573347652</v>
      </c>
      <c r="N93" s="134">
        <v>27.972780680483876</v>
      </c>
      <c r="O93" s="134">
        <v>10.995414318812838</v>
      </c>
      <c r="P93" s="5">
        <f t="shared" si="4"/>
        <v>183.78356405221172</v>
      </c>
      <c r="Q93" s="6"/>
      <c r="R93" s="6"/>
      <c r="S93" s="6"/>
    </row>
    <row r="94" spans="1:21">
      <c r="A94" s="4">
        <f t="shared" si="3"/>
        <v>83</v>
      </c>
      <c r="B94" s="144">
        <v>9110</v>
      </c>
      <c r="C94" s="6" t="s">
        <v>318</v>
      </c>
      <c r="D94" s="214">
        <v>25969.919999999998</v>
      </c>
      <c r="E94" s="214">
        <v>21692.069999999996</v>
      </c>
      <c r="F94" s="214">
        <v>23129.510000000002</v>
      </c>
      <c r="G94" s="214">
        <v>20081</v>
      </c>
      <c r="H94" s="214">
        <v>20661.920000000002</v>
      </c>
      <c r="I94" s="214">
        <v>20121.519999999997</v>
      </c>
      <c r="J94" s="134">
        <v>22042.555614759964</v>
      </c>
      <c r="K94" s="134">
        <v>22626.745178017976</v>
      </c>
      <c r="L94" s="134">
        <v>19256.641307057555</v>
      </c>
      <c r="M94" s="134">
        <v>19713.086385617135</v>
      </c>
      <c r="N94" s="134">
        <v>23332.601016946988</v>
      </c>
      <c r="O94" s="134">
        <v>19119.135529537121</v>
      </c>
      <c r="P94" s="5">
        <f t="shared" si="4"/>
        <v>257746.70503193676</v>
      </c>
      <c r="Q94" s="6"/>
      <c r="R94" s="225"/>
      <c r="S94" s="6"/>
    </row>
    <row r="95" spans="1:21">
      <c r="A95" s="4">
        <f t="shared" si="3"/>
        <v>84</v>
      </c>
      <c r="B95" s="144">
        <v>9120</v>
      </c>
      <c r="C95" s="6" t="s">
        <v>319</v>
      </c>
      <c r="D95" s="214">
        <v>4837.5599999999995</v>
      </c>
      <c r="E95" s="214">
        <v>2654.57</v>
      </c>
      <c r="F95" s="214">
        <v>3217.8700000000003</v>
      </c>
      <c r="G95" s="214">
        <v>3010.72</v>
      </c>
      <c r="H95" s="214">
        <v>5580.03</v>
      </c>
      <c r="I95" s="214">
        <v>6680.0300000000007</v>
      </c>
      <c r="J95" s="134">
        <v>6359.0081399110968</v>
      </c>
      <c r="K95" s="134">
        <v>5825.7333131848127</v>
      </c>
      <c r="L95" s="134">
        <v>3590.1622692801502</v>
      </c>
      <c r="M95" s="134">
        <v>2508.0367950662107</v>
      </c>
      <c r="N95" s="134">
        <v>8550.0548335047279</v>
      </c>
      <c r="O95" s="134">
        <v>3360.8169461873667</v>
      </c>
      <c r="P95" s="5">
        <f t="shared" si="4"/>
        <v>56174.592297134361</v>
      </c>
      <c r="Q95" s="6"/>
      <c r="R95" s="225"/>
      <c r="S95" s="6"/>
    </row>
    <row r="96" spans="1:21">
      <c r="A96" s="4">
        <f t="shared" si="3"/>
        <v>85</v>
      </c>
      <c r="B96" s="144">
        <v>9130</v>
      </c>
      <c r="C96" s="6" t="s">
        <v>320</v>
      </c>
      <c r="D96" s="214">
        <v>1518.5</v>
      </c>
      <c r="E96" s="214">
        <v>2316.4</v>
      </c>
      <c r="F96" s="214">
        <v>2743.6</v>
      </c>
      <c r="G96" s="214">
        <v>1195.6199999999999</v>
      </c>
      <c r="H96" s="214">
        <v>1209.0999999999999</v>
      </c>
      <c r="I96" s="214">
        <v>1707.1799999999998</v>
      </c>
      <c r="J96" s="134">
        <v>2616.5627290214375</v>
      </c>
      <c r="K96" s="134">
        <v>2397.1343204965715</v>
      </c>
      <c r="L96" s="134">
        <v>1477.2562919016489</v>
      </c>
      <c r="M96" s="134">
        <v>1031.9904388542539</v>
      </c>
      <c r="N96" s="134">
        <v>3518.1201716075866</v>
      </c>
      <c r="O96" s="134">
        <v>1382.8867909863145</v>
      </c>
      <c r="P96" s="5">
        <f t="shared" si="4"/>
        <v>23114.350742867809</v>
      </c>
      <c r="Q96" s="6"/>
      <c r="R96" s="6"/>
      <c r="S96" s="6"/>
    </row>
    <row r="97" spans="1:19">
      <c r="A97" s="4">
        <f t="shared" si="3"/>
        <v>86</v>
      </c>
      <c r="B97" s="144">
        <v>9200</v>
      </c>
      <c r="C97" s="145" t="s">
        <v>321</v>
      </c>
      <c r="D97" s="214">
        <v>12707.710000000001</v>
      </c>
      <c r="E97" s="214">
        <v>12580.02</v>
      </c>
      <c r="F97" s="214">
        <v>10884.4</v>
      </c>
      <c r="G97" s="214">
        <v>10341.33</v>
      </c>
      <c r="H97" s="214">
        <v>11470.779999999999</v>
      </c>
      <c r="I97" s="214">
        <v>10422.359999999999</v>
      </c>
      <c r="J97" s="134">
        <v>11448.097855261576</v>
      </c>
      <c r="K97" s="134">
        <v>11025.913104683399</v>
      </c>
      <c r="L97" s="134">
        <v>10582.597952988071</v>
      </c>
      <c r="M97" s="134">
        <v>11469.228256378728</v>
      </c>
      <c r="N97" s="134">
        <v>10582.597952988071</v>
      </c>
      <c r="O97" s="134">
        <v>10582.597952988071</v>
      </c>
      <c r="P97" s="5">
        <f t="shared" si="4"/>
        <v>134097.63307528791</v>
      </c>
      <c r="Q97" s="6"/>
      <c r="R97" s="225"/>
      <c r="S97" s="6"/>
    </row>
    <row r="98" spans="1:19">
      <c r="A98" s="4">
        <f t="shared" si="3"/>
        <v>87</v>
      </c>
      <c r="B98" s="144">
        <v>9210</v>
      </c>
      <c r="C98" s="6" t="s">
        <v>322</v>
      </c>
      <c r="D98" s="214">
        <v>2050.1099999999997</v>
      </c>
      <c r="E98" s="214">
        <v>374.2</v>
      </c>
      <c r="F98" s="214">
        <v>-50</v>
      </c>
      <c r="G98" s="214">
        <v>1058.8800000000001</v>
      </c>
      <c r="H98" s="214">
        <v>784.09</v>
      </c>
      <c r="I98" s="214">
        <v>291.29999999999995</v>
      </c>
      <c r="J98" s="134">
        <v>474.18724170309872</v>
      </c>
      <c r="K98" s="134">
        <v>568.7192730069246</v>
      </c>
      <c r="L98" s="134">
        <v>474.97241968299255</v>
      </c>
      <c r="M98" s="134">
        <v>530.19736756898271</v>
      </c>
      <c r="N98" s="134">
        <v>574.29439170761214</v>
      </c>
      <c r="O98" s="134">
        <v>479.03295254295307</v>
      </c>
      <c r="P98" s="5">
        <f t="shared" si="4"/>
        <v>7609.9836462125641</v>
      </c>
      <c r="Q98" s="6"/>
      <c r="R98" s="225"/>
      <c r="S98" s="6"/>
    </row>
    <row r="99" spans="1:19">
      <c r="A99" s="4">
        <f t="shared" si="3"/>
        <v>88</v>
      </c>
      <c r="B99" s="144">
        <v>9220</v>
      </c>
      <c r="C99" s="6" t="s">
        <v>323</v>
      </c>
      <c r="D99" s="214">
        <v>1048979.1000000001</v>
      </c>
      <c r="E99" s="214">
        <v>1007781.6000000001</v>
      </c>
      <c r="F99" s="214">
        <v>1111531.03</v>
      </c>
      <c r="G99" s="214">
        <v>964157.01</v>
      </c>
      <c r="H99" s="214">
        <v>1761549.62</v>
      </c>
      <c r="I99" s="214">
        <v>503333.84</v>
      </c>
      <c r="J99" s="116">
        <f>-('C.2.2 B 02'!J40+'C.2.2 B 12'!J34+'C.2.2 B 91'!J54)</f>
        <v>1096346.9718877953</v>
      </c>
      <c r="K99" s="116">
        <f>-('C.2.2 B 02'!K40+'C.2.2 B 12'!K34+'C.2.2 B 91'!K54)</f>
        <v>1106534.9729298446</v>
      </c>
      <c r="L99" s="116">
        <f>-('C.2.2 B 02'!L40+'C.2.2 B 12'!L34+'C.2.2 B 91'!L54)</f>
        <v>1113570.6185640928</v>
      </c>
      <c r="M99" s="116">
        <f>-('C.2.2 B 02'!M40+'C.2.2 B 12'!M34+'C.2.2 B 91'!M54)</f>
        <v>1186407.1913216305</v>
      </c>
      <c r="N99" s="116">
        <f>-('C.2.2 B 02'!N40+'C.2.2 B 12'!N34+'C.2.2 B 91'!N54)</f>
        <v>1104262.7480620639</v>
      </c>
      <c r="O99" s="116">
        <f>-('C.2.2 B 02'!O40+'C.2.2 B 12'!O34+'C.2.2 B 91'!O54)</f>
        <v>1065764.4150228188</v>
      </c>
      <c r="P99" s="5">
        <f>SUM(D99:O99)</f>
        <v>13070219.117788246</v>
      </c>
      <c r="Q99" s="79"/>
      <c r="R99" s="227"/>
      <c r="S99" s="5"/>
    </row>
    <row r="100" spans="1:19">
      <c r="A100" s="4">
        <f t="shared" si="3"/>
        <v>89</v>
      </c>
      <c r="B100" s="144">
        <v>9230</v>
      </c>
      <c r="C100" s="6" t="s">
        <v>324</v>
      </c>
      <c r="D100" s="214">
        <v>5000</v>
      </c>
      <c r="E100" s="214">
        <v>16505.96</v>
      </c>
      <c r="F100" s="214">
        <v>15128</v>
      </c>
      <c r="G100" s="214">
        <v>26698.15</v>
      </c>
      <c r="H100" s="214">
        <v>28801.38</v>
      </c>
      <c r="I100" s="214">
        <v>17583.39</v>
      </c>
      <c r="J100" s="134">
        <v>15156.142124985698</v>
      </c>
      <c r="K100" s="134">
        <v>15352.499896005793</v>
      </c>
      <c r="L100" s="134">
        <v>15354.214436103812</v>
      </c>
      <c r="M100" s="134">
        <v>15356.149753148897</v>
      </c>
      <c r="N100" s="134">
        <v>15351.039175670536</v>
      </c>
      <c r="O100" s="134">
        <v>15345.571293424473</v>
      </c>
      <c r="P100" s="5">
        <f t="shared" si="4"/>
        <v>201632.49667933921</v>
      </c>
      <c r="Q100" s="6"/>
      <c r="R100" s="225"/>
      <c r="S100" s="6"/>
    </row>
    <row r="101" spans="1:19">
      <c r="A101" s="4">
        <f t="shared" si="3"/>
        <v>90</v>
      </c>
      <c r="B101" s="144">
        <v>9240</v>
      </c>
      <c r="C101" s="6" t="s">
        <v>325</v>
      </c>
      <c r="D101" s="214">
        <v>14569.170000000002</v>
      </c>
      <c r="E101" s="214">
        <v>13795.710000000003</v>
      </c>
      <c r="F101" s="214">
        <v>13774.810000000001</v>
      </c>
      <c r="G101" s="214">
        <v>12964.590000000004</v>
      </c>
      <c r="H101" s="214">
        <v>12827.59</v>
      </c>
      <c r="I101" s="214">
        <v>12682.93</v>
      </c>
      <c r="J101" s="134">
        <v>978.9117505371205</v>
      </c>
      <c r="K101" s="134">
        <v>679.37987320095499</v>
      </c>
      <c r="L101" s="134">
        <v>679.37987320095499</v>
      </c>
      <c r="M101" s="134">
        <v>679.37987320095499</v>
      </c>
      <c r="N101" s="134">
        <v>679.37987320095499</v>
      </c>
      <c r="O101" s="134">
        <v>679.37987320095499</v>
      </c>
      <c r="P101" s="5">
        <f t="shared" si="4"/>
        <v>84990.611116541942</v>
      </c>
      <c r="Q101" s="6"/>
      <c r="R101" s="225"/>
      <c r="S101" s="6"/>
    </row>
    <row r="102" spans="1:19">
      <c r="A102" s="4">
        <f t="shared" si="3"/>
        <v>91</v>
      </c>
      <c r="B102" s="144">
        <v>9250</v>
      </c>
      <c r="C102" s="6" t="s">
        <v>326</v>
      </c>
      <c r="D102" s="214">
        <v>367.52</v>
      </c>
      <c r="E102" s="214">
        <v>114712.07</v>
      </c>
      <c r="F102" s="214">
        <v>4709.7800000000007</v>
      </c>
      <c r="G102" s="214">
        <v>201.04999999999998</v>
      </c>
      <c r="H102" s="214">
        <v>4757.2299999999996</v>
      </c>
      <c r="I102" s="214">
        <v>1613.07</v>
      </c>
      <c r="J102" s="134">
        <v>17281.029880148395</v>
      </c>
      <c r="K102" s="134">
        <v>17719.864597458512</v>
      </c>
      <c r="L102" s="134">
        <v>17753.356802580875</v>
      </c>
      <c r="M102" s="134">
        <v>17792.213367870689</v>
      </c>
      <c r="N102" s="134">
        <v>17690.708070822329</v>
      </c>
      <c r="O102" s="134">
        <v>17582.825301733279</v>
      </c>
      <c r="P102" s="5">
        <f t="shared" si="4"/>
        <v>232180.71802061409</v>
      </c>
      <c r="Q102" s="6"/>
      <c r="R102" s="225"/>
      <c r="S102" s="6"/>
    </row>
    <row r="103" spans="1:19">
      <c r="A103" s="4">
        <f t="shared" si="3"/>
        <v>92</v>
      </c>
      <c r="B103" s="144">
        <v>9260</v>
      </c>
      <c r="C103" s="6" t="s">
        <v>327</v>
      </c>
      <c r="D103" s="214">
        <v>239184.93999999997</v>
      </c>
      <c r="E103" s="214">
        <v>199130.44000000006</v>
      </c>
      <c r="F103" s="214">
        <v>190844.51000000013</v>
      </c>
      <c r="G103" s="214">
        <v>188032.59000000011</v>
      </c>
      <c r="H103" s="214">
        <v>203542.82999999993</v>
      </c>
      <c r="I103" s="214">
        <v>165489.6399999999</v>
      </c>
      <c r="J103" s="134">
        <v>192558.10974872197</v>
      </c>
      <c r="K103" s="134">
        <v>165889.05894580614</v>
      </c>
      <c r="L103" s="134">
        <v>160405.9341118822</v>
      </c>
      <c r="M103" s="134">
        <v>174046.27767636869</v>
      </c>
      <c r="N103" s="134">
        <v>158904.57993927697</v>
      </c>
      <c r="O103" s="134">
        <v>156015.04880665118</v>
      </c>
      <c r="P103" s="5">
        <f>SUM(D103:O103)</f>
        <v>2194043.9592287075</v>
      </c>
      <c r="Q103" s="6"/>
      <c r="R103" s="225"/>
      <c r="S103" s="6"/>
    </row>
    <row r="104" spans="1:19">
      <c r="A104" s="4">
        <f t="shared" si="3"/>
        <v>93</v>
      </c>
      <c r="B104" s="144">
        <v>9270</v>
      </c>
      <c r="C104" s="6" t="s">
        <v>328</v>
      </c>
      <c r="D104" s="214">
        <v>0</v>
      </c>
      <c r="E104" s="214">
        <v>320.64999999999998</v>
      </c>
      <c r="F104" s="214">
        <v>0</v>
      </c>
      <c r="G104" s="214">
        <v>0</v>
      </c>
      <c r="H104" s="214">
        <v>0</v>
      </c>
      <c r="I104" s="214">
        <v>0</v>
      </c>
      <c r="J104" s="134">
        <v>31.131796978184095</v>
      </c>
      <c r="K104" s="134">
        <v>6.8781297713498875</v>
      </c>
      <c r="L104" s="134">
        <v>6.8781297713498875</v>
      </c>
      <c r="M104" s="134">
        <v>6.8781297713498875</v>
      </c>
      <c r="N104" s="134">
        <v>6.8781297713498875</v>
      </c>
      <c r="O104" s="134">
        <v>6.8781297713498875</v>
      </c>
      <c r="P104" s="5">
        <f t="shared" si="4"/>
        <v>386.17244583493357</v>
      </c>
      <c r="Q104" s="6"/>
      <c r="R104" s="225"/>
      <c r="S104" s="6"/>
    </row>
    <row r="105" spans="1:19">
      <c r="A105" s="4">
        <f t="shared" si="3"/>
        <v>94</v>
      </c>
      <c r="B105" s="144">
        <v>9280</v>
      </c>
      <c r="C105" s="6" t="s">
        <v>329</v>
      </c>
      <c r="D105" s="214">
        <v>-258.72000000000003</v>
      </c>
      <c r="E105" s="214">
        <v>0</v>
      </c>
      <c r="F105" s="214">
        <v>4256.79</v>
      </c>
      <c r="G105" s="214">
        <v>2299.5</v>
      </c>
      <c r="H105" s="214">
        <v>0</v>
      </c>
      <c r="I105" s="214">
        <v>0</v>
      </c>
      <c r="J105" s="134">
        <v>881.12427799364548</v>
      </c>
      <c r="K105" s="134">
        <v>911.73725018665618</v>
      </c>
      <c r="L105" s="134">
        <v>911.73725018665618</v>
      </c>
      <c r="M105" s="134">
        <v>911.73725018665618</v>
      </c>
      <c r="N105" s="134">
        <v>911.73725018665618</v>
      </c>
      <c r="O105" s="134">
        <v>911.73725018665618</v>
      </c>
      <c r="P105" s="5">
        <f t="shared" si="4"/>
        <v>11737.380528926924</v>
      </c>
      <c r="Q105" s="6"/>
      <c r="R105" s="225"/>
      <c r="S105" s="6"/>
    </row>
    <row r="106" spans="1:19">
      <c r="A106" s="4">
        <f t="shared" si="3"/>
        <v>95</v>
      </c>
      <c r="B106" s="144">
        <v>9302</v>
      </c>
      <c r="C106" s="6" t="s">
        <v>330</v>
      </c>
      <c r="D106" s="214">
        <v>2044.4</v>
      </c>
      <c r="E106" s="214">
        <v>8530</v>
      </c>
      <c r="F106" s="214">
        <v>350</v>
      </c>
      <c r="G106" s="214">
        <v>634.18000000000006</v>
      </c>
      <c r="H106" s="214">
        <v>3425</v>
      </c>
      <c r="I106" s="214">
        <v>11200</v>
      </c>
      <c r="J106" s="134">
        <v>2555.681226754627</v>
      </c>
      <c r="K106" s="134">
        <v>809.18469804998574</v>
      </c>
      <c r="L106" s="134">
        <v>4083.3953419365744</v>
      </c>
      <c r="M106" s="134">
        <v>1065.6613466830836</v>
      </c>
      <c r="N106" s="134">
        <v>6016.8319710824844</v>
      </c>
      <c r="O106" s="134">
        <v>1563.643480575729</v>
      </c>
      <c r="P106" s="5">
        <f t="shared" ref="P106:P108" si="5">SUM(D106:O106)</f>
        <v>42277.978065082491</v>
      </c>
      <c r="Q106" s="6"/>
      <c r="R106" s="225"/>
      <c r="S106" s="6"/>
    </row>
    <row r="107" spans="1:19">
      <c r="A107" s="4">
        <f t="shared" si="3"/>
        <v>96</v>
      </c>
      <c r="B107" s="144">
        <v>9310</v>
      </c>
      <c r="C107" s="145" t="s">
        <v>209</v>
      </c>
      <c r="D107" s="214">
        <v>1205.95</v>
      </c>
      <c r="E107" s="214">
        <v>1218.99</v>
      </c>
      <c r="F107" s="214">
        <v>1205.95</v>
      </c>
      <c r="G107" s="214">
        <v>1218.99</v>
      </c>
      <c r="H107" s="214">
        <v>1269.0899999999999</v>
      </c>
      <c r="I107" s="214">
        <v>1262.26</v>
      </c>
      <c r="J107" s="134">
        <v>1060.7689702700823</v>
      </c>
      <c r="K107" s="134">
        <v>1020.7838886422805</v>
      </c>
      <c r="L107" s="134">
        <v>1002.3665868911468</v>
      </c>
      <c r="M107" s="134">
        <v>1071.0308537297005</v>
      </c>
      <c r="N107" s="134">
        <v>1038.5426456347327</v>
      </c>
      <c r="O107" s="134">
        <v>1072.7430701022731</v>
      </c>
      <c r="P107" s="5">
        <f t="shared" si="5"/>
        <v>13647.466015270216</v>
      </c>
      <c r="Q107" s="6"/>
      <c r="R107" s="225"/>
      <c r="S107" s="6"/>
    </row>
    <row r="108" spans="1:19">
      <c r="A108" s="4">
        <f t="shared" si="3"/>
        <v>97</v>
      </c>
      <c r="B108" s="144">
        <v>9320</v>
      </c>
      <c r="C108" t="s">
        <v>331</v>
      </c>
      <c r="D108" s="214">
        <v>0</v>
      </c>
      <c r="E108" s="214">
        <v>0</v>
      </c>
      <c r="F108" s="214">
        <v>0</v>
      </c>
      <c r="G108" s="214">
        <v>1248.08</v>
      </c>
      <c r="H108" s="214">
        <v>0</v>
      </c>
      <c r="I108" s="214">
        <v>0</v>
      </c>
      <c r="J108" s="134">
        <v>119.94376094926857</v>
      </c>
      <c r="K108" s="134">
        <v>36.14788171679303</v>
      </c>
      <c r="L108" s="134">
        <v>195.51828080211249</v>
      </c>
      <c r="M108" s="134">
        <v>50.176391769339062</v>
      </c>
      <c r="N108" s="134">
        <v>286.54047393374833</v>
      </c>
      <c r="O108" s="134">
        <v>73.829112206771327</v>
      </c>
      <c r="P108" s="5">
        <f t="shared" si="5"/>
        <v>2010.2359013780328</v>
      </c>
      <c r="Q108" s="6"/>
      <c r="R108" s="6"/>
      <c r="S108" s="6"/>
    </row>
    <row r="109" spans="1:19">
      <c r="A109" s="4">
        <f t="shared" si="3"/>
        <v>98</v>
      </c>
      <c r="B109" s="6"/>
      <c r="C109" s="6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9"/>
      <c r="P109" s="6"/>
      <c r="Q109" s="6"/>
      <c r="R109" s="6"/>
      <c r="S109" s="6"/>
    </row>
    <row r="110" spans="1:19" ht="15.75" thickBot="1">
      <c r="A110" s="4">
        <f t="shared" si="3"/>
        <v>99</v>
      </c>
      <c r="B110" s="6"/>
      <c r="C110" s="6" t="s">
        <v>332</v>
      </c>
      <c r="D110" s="230">
        <f t="shared" ref="D110:O110" si="6">SUM(D14:D109)</f>
        <v>-4263974.1999999965</v>
      </c>
      <c r="E110" s="230">
        <f t="shared" si="6"/>
        <v>-2047228.1199999962</v>
      </c>
      <c r="F110" s="230">
        <f t="shared" si="6"/>
        <v>-953316.92000000074</v>
      </c>
      <c r="G110" s="230">
        <f t="shared" si="6"/>
        <v>-848925.84999999951</v>
      </c>
      <c r="H110" s="230">
        <f t="shared" si="6"/>
        <v>-37722.539999999979</v>
      </c>
      <c r="I110" s="230">
        <f t="shared" si="6"/>
        <v>-1385713.98</v>
      </c>
      <c r="J110" s="231">
        <f t="shared" si="6"/>
        <v>-1242738.702612164</v>
      </c>
      <c r="K110" s="230">
        <f t="shared" si="6"/>
        <v>-1731569.089460081</v>
      </c>
      <c r="L110" s="230">
        <f t="shared" si="6"/>
        <v>-3335899.9628226394</v>
      </c>
      <c r="M110" s="230">
        <f t="shared" si="6"/>
        <v>-4965490.4334238106</v>
      </c>
      <c r="N110" s="230">
        <f t="shared" si="6"/>
        <v>-5560305.724584125</v>
      </c>
      <c r="O110" s="230">
        <f t="shared" si="6"/>
        <v>-5128273.9201333094</v>
      </c>
      <c r="P110" s="230">
        <f>SUM(P12:P109)</f>
        <v>-22059588.98320964</v>
      </c>
      <c r="Q110" s="232"/>
      <c r="R110" s="5"/>
      <c r="S110" s="6"/>
    </row>
    <row r="111" spans="1:19" ht="15.75" thickTop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>
      <c r="A112" s="6"/>
      <c r="B112" s="6"/>
      <c r="C112" s="6" t="s">
        <v>333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R112" s="6"/>
      <c r="S112" s="6"/>
    </row>
    <row r="113" spans="1:19">
      <c r="A113" s="6"/>
      <c r="B113" s="6"/>
      <c r="C113" s="194" t="s">
        <v>334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9"/>
      <c r="P113" s="6"/>
      <c r="Q113" s="6"/>
      <c r="R113" s="6"/>
      <c r="S113" s="6"/>
    </row>
    <row r="114" spans="1:1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P114" s="6"/>
      <c r="Q114" s="5"/>
      <c r="R114" s="6"/>
      <c r="S114" s="6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5"/>
      <c r="K115" s="5"/>
      <c r="L115" s="6"/>
      <c r="M115" s="6"/>
      <c r="N115" s="6"/>
      <c r="P115" s="9"/>
      <c r="Q115" s="9"/>
      <c r="R115" s="6"/>
      <c r="S115" s="6"/>
    </row>
    <row r="116" spans="1:19">
      <c r="A116" s="6"/>
      <c r="B116" s="6" t="s">
        <v>335</v>
      </c>
      <c r="C116" s="194"/>
      <c r="D116" s="6"/>
      <c r="E116" s="6"/>
      <c r="F116" s="5"/>
      <c r="G116" s="6"/>
      <c r="H116" s="6"/>
      <c r="I116" s="6"/>
      <c r="J116" s="5"/>
      <c r="K116" s="5"/>
      <c r="L116" s="6"/>
      <c r="M116" s="6"/>
      <c r="N116" s="6"/>
      <c r="P116" s="213"/>
      <c r="R116" s="6"/>
      <c r="S116" s="6"/>
    </row>
    <row r="117" spans="1:19">
      <c r="A117" s="6"/>
      <c r="B117" s="6" t="s">
        <v>336</v>
      </c>
      <c r="C117" s="6"/>
      <c r="D117" s="233"/>
      <c r="E117" s="233"/>
      <c r="F117" s="233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5"/>
      <c r="R117" s="6"/>
      <c r="S117" s="6"/>
    </row>
    <row r="118" spans="1:19">
      <c r="A118" s="6"/>
      <c r="B118" s="6" t="s">
        <v>337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6"/>
      <c r="Q118" s="5"/>
      <c r="R118" s="6"/>
      <c r="S118" s="6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P119" s="6"/>
      <c r="Q119" s="6"/>
      <c r="R119" s="6"/>
      <c r="S119" s="6"/>
    </row>
    <row r="120" spans="1:19">
      <c r="A120" s="6"/>
      <c r="B120" s="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95"/>
      <c r="P120" s="5"/>
      <c r="Q120" s="5"/>
      <c r="R120" s="6"/>
      <c r="S120" s="6"/>
    </row>
    <row r="121" spans="1:19">
      <c r="A121" s="6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95"/>
      <c r="P121" s="5"/>
      <c r="Q121" s="5"/>
      <c r="R121" s="6"/>
      <c r="S121" s="6"/>
    </row>
    <row r="122" spans="1:19">
      <c r="A122" s="6"/>
      <c r="B122" s="6"/>
      <c r="C122" s="79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95"/>
      <c r="P122" s="5"/>
      <c r="Q122" s="5"/>
      <c r="R122" s="6"/>
      <c r="S122" s="6"/>
    </row>
    <row r="123" spans="1:19">
      <c r="A123" s="6"/>
      <c r="B123" s="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95"/>
      <c r="P123" s="5"/>
      <c r="Q123" s="5"/>
      <c r="R123" s="6"/>
      <c r="S123" s="6"/>
    </row>
    <row r="124" spans="1:19">
      <c r="A124" s="6"/>
      <c r="B124" s="6"/>
      <c r="C124" s="7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95"/>
      <c r="P124" s="5"/>
      <c r="Q124" s="5"/>
      <c r="R124" s="6"/>
      <c r="S124" s="6"/>
    </row>
    <row r="125" spans="1:19">
      <c r="A125" s="6"/>
      <c r="B125" s="6"/>
      <c r="C125" s="14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95"/>
      <c r="P125" s="5"/>
      <c r="Q125" s="5"/>
      <c r="R125" s="6"/>
      <c r="S125" s="6"/>
    </row>
    <row r="126" spans="1:19">
      <c r="A126" s="6"/>
      <c r="B126" s="6"/>
      <c r="C126" s="14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195"/>
      <c r="P126" s="5"/>
      <c r="Q126" s="5"/>
      <c r="R126" s="6"/>
      <c r="S126" s="6"/>
    </row>
    <row r="127" spans="1:19">
      <c r="A127" s="6"/>
      <c r="B127" s="6"/>
      <c r="C127" s="14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6"/>
      <c r="S127" s="6"/>
    </row>
    <row r="128" spans="1:19">
      <c r="A128" s="6"/>
      <c r="B128" s="6"/>
      <c r="C128" s="14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6"/>
      <c r="S128" s="6"/>
    </row>
    <row r="129" spans="3:17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5"/>
      <c r="Q129" s="9"/>
    </row>
    <row r="130" spans="3:17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5"/>
      <c r="Q130" s="9"/>
    </row>
    <row r="131" spans="3:17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5"/>
      <c r="Q131" s="9"/>
    </row>
    <row r="132" spans="3:17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5"/>
      <c r="Q132" s="9"/>
    </row>
    <row r="133" spans="3:17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3:17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3:17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3:17">
      <c r="D136" s="234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3:17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3:17">
      <c r="D138" s="9"/>
      <c r="E138" s="9"/>
      <c r="F138" s="9"/>
      <c r="G138" s="9"/>
      <c r="H138" s="9"/>
      <c r="I138" s="9"/>
      <c r="J138" s="235"/>
      <c r="K138" s="9"/>
      <c r="L138" s="9"/>
      <c r="M138" s="9"/>
      <c r="N138" s="9"/>
      <c r="O138" s="9"/>
      <c r="P138" s="9"/>
      <c r="Q138" s="9"/>
    </row>
    <row r="140" spans="3:17">
      <c r="C140" s="7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8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60" zoomScaleNormal="70" workbookViewId="0">
      <pane xSplit="3" ySplit="11" topLeftCell="D12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</row>
    <row r="2" spans="1:18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</row>
    <row r="3" spans="1:18" ht="15.75">
      <c r="A3" s="310" t="s">
        <v>338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</row>
    <row r="4" spans="1:18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</row>
    <row r="5" spans="1:18">
      <c r="A5" s="6"/>
      <c r="B5" s="158"/>
      <c r="C5" s="158"/>
      <c r="D5" s="158"/>
      <c r="E5" s="158"/>
      <c r="F5" s="158"/>
      <c r="G5" s="236"/>
      <c r="H5" s="79"/>
      <c r="I5" s="158"/>
      <c r="J5" s="158"/>
      <c r="K5" s="158"/>
      <c r="L5" s="158"/>
      <c r="M5" s="158"/>
      <c r="N5" s="158"/>
      <c r="O5" s="158"/>
      <c r="P5" s="6"/>
      <c r="Q5" s="6"/>
    </row>
    <row r="6" spans="1:18" ht="15.75">
      <c r="A6" s="11" t="str">
        <f>'C.2.2 B 09'!A6</f>
        <v>Data:___X____Base Period________Forecasted Period</v>
      </c>
      <c r="B6" s="194"/>
      <c r="C6" s="11"/>
      <c r="D6" s="6"/>
      <c r="E6" s="6"/>
      <c r="F6" s="6"/>
      <c r="G6" s="6"/>
      <c r="H6" s="237"/>
      <c r="I6" s="6"/>
      <c r="K6" s="238"/>
      <c r="L6" s="6"/>
      <c r="M6" s="6"/>
      <c r="N6" s="158"/>
      <c r="O6" s="158"/>
      <c r="P6" s="195" t="s">
        <v>235</v>
      </c>
      <c r="Q6" s="6"/>
    </row>
    <row r="7" spans="1:18">
      <c r="A7" s="11" t="str">
        <f>'C.2.2 B 09'!A7</f>
        <v>Type of Filing:___X____Original________Updated ________Revised</v>
      </c>
      <c r="B7" s="194"/>
      <c r="C7" s="11"/>
      <c r="D7" s="6"/>
      <c r="E7" s="79"/>
      <c r="F7" s="6"/>
      <c r="G7" s="6"/>
      <c r="H7" s="6"/>
      <c r="I7" s="6"/>
      <c r="J7" s="6"/>
      <c r="K7" s="6"/>
      <c r="L7" s="6"/>
      <c r="M7" s="6"/>
      <c r="N7" s="158"/>
      <c r="O7" s="158"/>
      <c r="P7" s="196" t="s">
        <v>236</v>
      </c>
      <c r="Q7" s="6"/>
    </row>
    <row r="8" spans="1:18">
      <c r="A8" s="11" t="str">
        <f>'C.2.2 B 09'!A8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97"/>
      <c r="P8" s="198" t="str">
        <f>C.1!J9</f>
        <v>Witness: Waller, Smith</v>
      </c>
      <c r="Q8" s="6"/>
    </row>
    <row r="9" spans="1:18">
      <c r="A9" s="199" t="s">
        <v>21</v>
      </c>
      <c r="B9" s="200" t="s">
        <v>237</v>
      </c>
      <c r="C9" s="201"/>
      <c r="D9" s="63" t="str">
        <f>'C.2.2 B 09'!D9</f>
        <v>actual</v>
      </c>
      <c r="E9" s="63" t="str">
        <f>'C.2.2 B 09'!F9</f>
        <v>actual</v>
      </c>
      <c r="F9" s="63" t="str">
        <f>'C.2.2 B 09'!F9</f>
        <v>actual</v>
      </c>
      <c r="G9" s="63" t="str">
        <f>'C.2.2 B 09'!G9</f>
        <v>actual</v>
      </c>
      <c r="H9" s="63" t="str">
        <f>'C.2.2 B 09'!H9</f>
        <v>actual</v>
      </c>
      <c r="I9" s="63" t="str">
        <f>'C.2.2 B 09'!I9</f>
        <v>actual</v>
      </c>
      <c r="J9" s="63" t="str">
        <f>'C.2.2 B 09'!J9</f>
        <v>Forecasted</v>
      </c>
      <c r="K9" s="63" t="str">
        <f>'C.2.2 B 09'!K9</f>
        <v>Budgeted</v>
      </c>
      <c r="L9" s="63" t="str">
        <f>'C.2.2 B 09'!L9</f>
        <v>Budgeted</v>
      </c>
      <c r="M9" s="63" t="str">
        <f>'C.2.2 B 09'!M9</f>
        <v>Budgeted</v>
      </c>
      <c r="N9" s="63" t="str">
        <f>'C.2.2 B 09'!N9</f>
        <v>Budgeted</v>
      </c>
      <c r="O9" s="63" t="str">
        <f>'C.2.2 B 09'!O9</f>
        <v>Budgeted</v>
      </c>
      <c r="P9" s="239"/>
      <c r="Q9" s="6"/>
    </row>
    <row r="10" spans="1:18">
      <c r="A10" s="205" t="s">
        <v>24</v>
      </c>
      <c r="B10" s="1" t="s">
        <v>24</v>
      </c>
      <c r="C10" s="206" t="s">
        <v>240</v>
      </c>
      <c r="D10" s="240">
        <f>'C.2.2 B 09'!D10</f>
        <v>42094</v>
      </c>
      <c r="E10" s="240">
        <f>'C.2.2 B 09'!F10</f>
        <v>42155</v>
      </c>
      <c r="F10" s="240">
        <f>'C.2.2 B 09'!F10</f>
        <v>42155</v>
      </c>
      <c r="G10" s="240">
        <f>'C.2.2 B 09'!G10</f>
        <v>42185</v>
      </c>
      <c r="H10" s="240">
        <f>'C.2.2 B 09'!H10</f>
        <v>42216</v>
      </c>
      <c r="I10" s="240">
        <f>'C.2.2 B 09'!I10</f>
        <v>42247</v>
      </c>
      <c r="J10" s="240">
        <f>'C.2.2 B 09'!J10</f>
        <v>42277</v>
      </c>
      <c r="K10" s="240">
        <f>'C.2.2 B 09'!K10</f>
        <v>42308</v>
      </c>
      <c r="L10" s="240">
        <f>'C.2.2 B 09'!L10</f>
        <v>42338</v>
      </c>
      <c r="M10" s="240">
        <f>'C.2.2 B 09'!M10</f>
        <v>42369</v>
      </c>
      <c r="N10" s="240">
        <f>'C.2.2 B 09'!N10</f>
        <v>42400</v>
      </c>
      <c r="O10" s="240">
        <f>'C.2.2 B 09'!O10</f>
        <v>42429</v>
      </c>
      <c r="P10" s="240" t="str">
        <f>'C.2.2 B 09'!P10</f>
        <v>Total</v>
      </c>
      <c r="Q10" s="6"/>
    </row>
    <row r="11" spans="1:18">
      <c r="A11" s="6"/>
      <c r="B11" s="6"/>
      <c r="C11" s="5"/>
      <c r="D11" s="68" t="s">
        <v>242</v>
      </c>
      <c r="E11" s="68" t="s">
        <v>242</v>
      </c>
      <c r="F11" s="68" t="s">
        <v>242</v>
      </c>
      <c r="G11" s="68" t="s">
        <v>242</v>
      </c>
      <c r="H11" s="68" t="s">
        <v>242</v>
      </c>
      <c r="I11" s="68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6"/>
    </row>
    <row r="12" spans="1:18">
      <c r="A12" s="6"/>
      <c r="B12" s="211" t="s">
        <v>218</v>
      </c>
      <c r="C12" s="212" t="s">
        <v>243</v>
      </c>
      <c r="D12" s="214">
        <v>188488.59000000358</v>
      </c>
      <c r="E12" s="214">
        <v>243921.77</v>
      </c>
      <c r="F12" s="214">
        <v>682125.79</v>
      </c>
      <c r="G12" s="214">
        <v>1051227.2899999991</v>
      </c>
      <c r="H12" s="214">
        <v>3771359.7</v>
      </c>
      <c r="I12" s="214">
        <v>-1129701.1500000001</v>
      </c>
      <c r="J12" s="214"/>
      <c r="K12" s="214"/>
      <c r="L12" s="214"/>
      <c r="M12" s="214"/>
      <c r="N12" s="214"/>
      <c r="O12" s="214"/>
      <c r="P12" s="6">
        <f t="shared" ref="P12:P13" si="0">SUM(D12:O12)</f>
        <v>4807421.9900000021</v>
      </c>
      <c r="Q12" s="6"/>
      <c r="R12" s="213"/>
    </row>
    <row r="13" spans="1:18">
      <c r="A13" s="6"/>
      <c r="B13" s="6"/>
      <c r="C13" s="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">
        <f t="shared" si="0"/>
        <v>0</v>
      </c>
      <c r="Q13" s="6"/>
    </row>
    <row r="14" spans="1:18">
      <c r="A14" s="4">
        <v>1</v>
      </c>
      <c r="B14" s="144">
        <v>4030</v>
      </c>
      <c r="C14" s="5" t="s">
        <v>70</v>
      </c>
      <c r="D14" s="214">
        <v>-1.1525003174028825E-10</v>
      </c>
      <c r="E14" s="214">
        <v>-8.7311491370201111E-11</v>
      </c>
      <c r="F14" s="214">
        <v>-8.7311491370201111E-11</v>
      </c>
      <c r="G14" s="214">
        <v>-5.8207660913467407E-11</v>
      </c>
      <c r="H14" s="214">
        <v>-1.0186340659856796E-10</v>
      </c>
      <c r="I14" s="214">
        <v>-2.9103830456733704E-11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6">
        <f>SUM(D14:O14)</f>
        <v>-4.7904791244945955E-10</v>
      </c>
      <c r="Q14" s="79"/>
      <c r="R14" s="213"/>
    </row>
    <row r="15" spans="1:18">
      <c r="A15" s="4">
        <f>A14+1</f>
        <v>2</v>
      </c>
      <c r="B15" s="144">
        <v>4081</v>
      </c>
      <c r="C15" s="6" t="s">
        <v>245</v>
      </c>
      <c r="D15" s="214">
        <v>-1.0000000079745774E-2</v>
      </c>
      <c r="E15" s="214">
        <v>1.0000000026138878E-2</v>
      </c>
      <c r="F15" s="214">
        <v>9.9999998451494321E-3</v>
      </c>
      <c r="G15" s="214">
        <v>4.8203219193965197E-11</v>
      </c>
      <c r="H15" s="214">
        <v>2.9999999999899107E-2</v>
      </c>
      <c r="I15" s="214">
        <v>1.9999999955237074E-2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6">
        <f>SUM(D15:O15)</f>
        <v>5.9999999794881936E-2</v>
      </c>
      <c r="Q15" s="79"/>
    </row>
    <row r="16" spans="1:18">
      <c r="A16" s="4">
        <f t="shared" ref="A16:A40" si="1">A15+1</f>
        <v>3</v>
      </c>
      <c r="B16" s="144">
        <v>8560</v>
      </c>
      <c r="C16" s="6" t="s">
        <v>287</v>
      </c>
      <c r="D16" s="214">
        <v>0</v>
      </c>
      <c r="E16" s="214">
        <v>555.19999999999982</v>
      </c>
      <c r="F16" s="214">
        <v>-229.90999999999985</v>
      </c>
      <c r="G16" s="214">
        <v>68.739999999999995</v>
      </c>
      <c r="H16" s="214">
        <v>46.490000000000023</v>
      </c>
      <c r="I16" s="214">
        <v>109.21</v>
      </c>
      <c r="J16" s="214">
        <v>168.31319621331158</v>
      </c>
      <c r="K16" s="214">
        <v>123.06347623187116</v>
      </c>
      <c r="L16" s="214">
        <v>122.62178395601271</v>
      </c>
      <c r="M16" s="214">
        <v>122.71190675555241</v>
      </c>
      <c r="N16" s="214">
        <v>123.01439310108097</v>
      </c>
      <c r="O16" s="214">
        <v>120.80237128735922</v>
      </c>
      <c r="P16" s="6">
        <f t="shared" ref="P16:P35" si="2">SUM(D16:O16)</f>
        <v>1330.257127545188</v>
      </c>
      <c r="Q16" s="6"/>
    </row>
    <row r="17" spans="1:17">
      <c r="A17" s="4">
        <f t="shared" si="1"/>
        <v>4</v>
      </c>
      <c r="B17" s="144">
        <v>8700</v>
      </c>
      <c r="C17" s="6" t="s">
        <v>292</v>
      </c>
      <c r="D17" s="214">
        <v>12344.87</v>
      </c>
      <c r="E17" s="214">
        <v>6006.1399999999994</v>
      </c>
      <c r="F17" s="214">
        <v>774.10999999999865</v>
      </c>
      <c r="G17" s="214">
        <v>150.88999999999817</v>
      </c>
      <c r="H17" s="214">
        <v>10189.64</v>
      </c>
      <c r="I17" s="214">
        <v>610.85999999999797</v>
      </c>
      <c r="J17" s="214">
        <v>9128.2736625265643</v>
      </c>
      <c r="K17" s="214">
        <v>6766.933543372952</v>
      </c>
      <c r="L17" s="214">
        <v>6715.9367995305147</v>
      </c>
      <c r="M17" s="214">
        <v>6769.975187592192</v>
      </c>
      <c r="N17" s="214">
        <v>6729.2783453771772</v>
      </c>
      <c r="O17" s="214">
        <v>6614.7658270827824</v>
      </c>
      <c r="P17" s="6">
        <f t="shared" si="2"/>
        <v>72801.673365482173</v>
      </c>
      <c r="Q17" s="6"/>
    </row>
    <row r="18" spans="1:17">
      <c r="A18" s="4">
        <f t="shared" si="1"/>
        <v>5</v>
      </c>
      <c r="B18" s="144">
        <v>8740</v>
      </c>
      <c r="C18" s="6" t="s">
        <v>296</v>
      </c>
      <c r="D18" s="214">
        <v>13304.42</v>
      </c>
      <c r="E18" s="214">
        <v>2002.1999999999998</v>
      </c>
      <c r="F18" s="214">
        <v>9281.380000000001</v>
      </c>
      <c r="G18" s="214">
        <v>11402.989999999998</v>
      </c>
      <c r="H18" s="214">
        <v>-1564.7399999999991</v>
      </c>
      <c r="I18" s="214">
        <v>10023.68</v>
      </c>
      <c r="J18" s="214">
        <v>9151.0828101670031</v>
      </c>
      <c r="K18" s="214">
        <v>15469.342759910836</v>
      </c>
      <c r="L18" s="214">
        <v>10016.69123909631</v>
      </c>
      <c r="M18" s="214">
        <v>9675.9005190454009</v>
      </c>
      <c r="N18" s="214">
        <v>9846.2958790708544</v>
      </c>
      <c r="O18" s="214">
        <v>9675.9005190454009</v>
      </c>
      <c r="P18" s="6">
        <f t="shared" si="2"/>
        <v>108285.14372633581</v>
      </c>
      <c r="Q18" s="6"/>
    </row>
    <row r="19" spans="1:17">
      <c r="A19" s="4">
        <f t="shared" si="1"/>
        <v>6</v>
      </c>
      <c r="B19" s="144">
        <v>8780</v>
      </c>
      <c r="C19" s="6" t="s">
        <v>300</v>
      </c>
      <c r="D19" s="214">
        <v>-1002.23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-183.15515685144194</v>
      </c>
      <c r="K19" s="214">
        <v>-191.26525189209588</v>
      </c>
      <c r="L19" s="214">
        <v>-182.5836009721601</v>
      </c>
      <c r="M19" s="214">
        <v>-199.94690012243532</v>
      </c>
      <c r="N19" s="214">
        <v>-182.5836009721601</v>
      </c>
      <c r="O19" s="214">
        <v>-182.5836009721601</v>
      </c>
      <c r="P19" s="6">
        <f t="shared" si="2"/>
        <v>-2124.3481117824535</v>
      </c>
      <c r="Q19" s="6"/>
    </row>
    <row r="20" spans="1:17">
      <c r="A20" s="4">
        <f t="shared" si="1"/>
        <v>7</v>
      </c>
      <c r="B20" s="144">
        <v>8800</v>
      </c>
      <c r="C20" s="6" t="s">
        <v>302</v>
      </c>
      <c r="D20" s="214">
        <v>0</v>
      </c>
      <c r="E20" s="214">
        <v>10.81</v>
      </c>
      <c r="F20" s="214">
        <v>0</v>
      </c>
      <c r="G20" s="214">
        <v>517.41999999999996</v>
      </c>
      <c r="H20" s="214">
        <v>40.46</v>
      </c>
      <c r="I20" s="214">
        <v>0</v>
      </c>
      <c r="J20" s="214">
        <v>105.17845499409778</v>
      </c>
      <c r="K20" s="214">
        <v>128.00565495706439</v>
      </c>
      <c r="L20" s="214">
        <v>126.77645120510485</v>
      </c>
      <c r="M20" s="214">
        <v>127.27927466961505</v>
      </c>
      <c r="N20" s="214">
        <v>127.52789267664555</v>
      </c>
      <c r="O20" s="214">
        <v>127.46308027125565</v>
      </c>
      <c r="P20" s="6">
        <f t="shared" si="2"/>
        <v>1310.9208087737832</v>
      </c>
      <c r="Q20" s="6"/>
    </row>
    <row r="21" spans="1:17">
      <c r="A21" s="4">
        <f t="shared" si="1"/>
        <v>8</v>
      </c>
      <c r="B21" s="144">
        <v>9010</v>
      </c>
      <c r="C21" s="6" t="s">
        <v>339</v>
      </c>
      <c r="D21" s="214">
        <v>0</v>
      </c>
      <c r="E21" s="214">
        <v>499.76</v>
      </c>
      <c r="F21" s="214">
        <v>7088.05</v>
      </c>
      <c r="G21" s="214">
        <v>153.49</v>
      </c>
      <c r="H21" s="214">
        <v>361.78999999999996</v>
      </c>
      <c r="I21" s="214">
        <v>0</v>
      </c>
      <c r="J21" s="214">
        <v>1612.4489369719408</v>
      </c>
      <c r="K21" s="214">
        <v>1816.0056321022</v>
      </c>
      <c r="L21" s="214">
        <v>1798.6389711831266</v>
      </c>
      <c r="M21" s="214">
        <v>1806.4707035416932</v>
      </c>
      <c r="N21" s="214">
        <v>1806.890193833412</v>
      </c>
      <c r="O21" s="214">
        <v>1803.8278839385414</v>
      </c>
      <c r="P21" s="6">
        <f t="shared" si="2"/>
        <v>18747.372321570918</v>
      </c>
      <c r="Q21" s="6"/>
    </row>
    <row r="22" spans="1:17">
      <c r="A22" s="4">
        <f t="shared" si="1"/>
        <v>9</v>
      </c>
      <c r="B22" s="144">
        <v>9030</v>
      </c>
      <c r="C22" s="6" t="s">
        <v>314</v>
      </c>
      <c r="D22" s="214">
        <v>3706.32</v>
      </c>
      <c r="E22" s="214">
        <v>3706.32</v>
      </c>
      <c r="F22" s="214">
        <v>3537.8300000000004</v>
      </c>
      <c r="G22" s="214">
        <v>3706.31</v>
      </c>
      <c r="H22" s="214">
        <v>3874.81</v>
      </c>
      <c r="I22" s="214">
        <v>3537.84</v>
      </c>
      <c r="J22" s="214">
        <v>4033.1360199474348</v>
      </c>
      <c r="K22" s="214">
        <v>4211.7229458956299</v>
      </c>
      <c r="L22" s="214">
        <v>4020.5501739151878</v>
      </c>
      <c r="M22" s="214">
        <v>4402.8956586502864</v>
      </c>
      <c r="N22" s="214">
        <v>4020.5501739151878</v>
      </c>
      <c r="O22" s="214">
        <v>4020.5501739151878</v>
      </c>
      <c r="P22" s="6">
        <f t="shared" si="2"/>
        <v>46778.835146238911</v>
      </c>
      <c r="Q22" s="6"/>
    </row>
    <row r="23" spans="1:17">
      <c r="A23" s="4">
        <f t="shared" si="1"/>
        <v>10</v>
      </c>
      <c r="B23" s="144">
        <v>9100</v>
      </c>
      <c r="C23" s="6" t="s">
        <v>317</v>
      </c>
      <c r="D23" s="214">
        <v>446.95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82.164237684428073</v>
      </c>
      <c r="K23" s="214">
        <v>100.42954386998044</v>
      </c>
      <c r="L23" s="214">
        <v>99.43368315400258</v>
      </c>
      <c r="M23" s="214">
        <v>99.796253803023646</v>
      </c>
      <c r="N23" s="214">
        <v>99.915902117200588</v>
      </c>
      <c r="O23" s="214">
        <v>99.978747696364238</v>
      </c>
      <c r="P23" s="6">
        <f t="shared" si="2"/>
        <v>1028.6683683249996</v>
      </c>
      <c r="Q23" s="6"/>
    </row>
    <row r="24" spans="1:17">
      <c r="A24" s="4">
        <f t="shared" si="1"/>
        <v>11</v>
      </c>
      <c r="B24" s="144">
        <v>9120</v>
      </c>
      <c r="C24" s="145" t="s">
        <v>319</v>
      </c>
      <c r="D24" s="214">
        <v>0</v>
      </c>
      <c r="E24" s="214">
        <v>0</v>
      </c>
      <c r="F24" s="214">
        <v>399.75</v>
      </c>
      <c r="G24" s="214">
        <v>0</v>
      </c>
      <c r="H24" s="214">
        <v>275</v>
      </c>
      <c r="I24" s="214">
        <v>2244.69</v>
      </c>
      <c r="J24" s="214">
        <v>871.21280327120689</v>
      </c>
      <c r="K24" s="214">
        <v>485.23598045316345</v>
      </c>
      <c r="L24" s="214">
        <v>408.91632937167833</v>
      </c>
      <c r="M24" s="214">
        <v>372.2828968525655</v>
      </c>
      <c r="N24" s="214">
        <v>469.53593794497226</v>
      </c>
      <c r="O24" s="214">
        <v>372.2828968525655</v>
      </c>
      <c r="P24" s="6">
        <f t="shared" si="2"/>
        <v>5898.9068447461514</v>
      </c>
      <c r="Q24" s="6"/>
    </row>
    <row r="25" spans="1:17">
      <c r="A25" s="4">
        <f t="shared" si="1"/>
        <v>12</v>
      </c>
      <c r="B25" s="144">
        <v>9200</v>
      </c>
      <c r="C25" s="6" t="s">
        <v>321</v>
      </c>
      <c r="D25" s="214">
        <v>-1579484.34</v>
      </c>
      <c r="E25" s="214">
        <v>-1201722.1799999997</v>
      </c>
      <c r="F25" s="214">
        <v>-261629.64999999959</v>
      </c>
      <c r="G25" s="214">
        <v>-2885600.439999999</v>
      </c>
      <c r="H25" s="214">
        <v>-5481318.5500000045</v>
      </c>
      <c r="I25" s="214">
        <v>-4808653.820000004</v>
      </c>
      <c r="J25" s="214">
        <v>-1980907.0907567763</v>
      </c>
      <c r="K25" s="214">
        <v>-1219679.8223755257</v>
      </c>
      <c r="L25" s="214">
        <v>-1705914.9405951253</v>
      </c>
      <c r="M25" s="214">
        <v>-1183538.6646098779</v>
      </c>
      <c r="N25" s="214">
        <v>-2255233.3904868658</v>
      </c>
      <c r="O25" s="214">
        <v>-2717546.9778292608</v>
      </c>
      <c r="P25" s="6">
        <f t="shared" si="2"/>
        <v>-27281229.866653435</v>
      </c>
      <c r="Q25" s="6"/>
    </row>
    <row r="26" spans="1:17">
      <c r="A26" s="4">
        <f t="shared" si="1"/>
        <v>13</v>
      </c>
      <c r="B26" s="144">
        <v>9210</v>
      </c>
      <c r="C26" s="6" t="s">
        <v>322</v>
      </c>
      <c r="D26" s="214">
        <v>1249144.0200000003</v>
      </c>
      <c r="E26" s="214">
        <v>1505038.1899999985</v>
      </c>
      <c r="F26" s="214">
        <v>1602763.9199999997</v>
      </c>
      <c r="G26" s="214">
        <v>1774936.2400000007</v>
      </c>
      <c r="H26" s="214">
        <v>1683390.9000000008</v>
      </c>
      <c r="I26" s="214">
        <v>1837310.1600000008</v>
      </c>
      <c r="J26" s="214">
        <v>2076217.4855367215</v>
      </c>
      <c r="K26" s="214">
        <v>2380748.2612314536</v>
      </c>
      <c r="L26" s="214">
        <v>2078660.7962752618</v>
      </c>
      <c r="M26" s="214">
        <v>2124420.4122857205</v>
      </c>
      <c r="N26" s="214">
        <v>2078153.2489235678</v>
      </c>
      <c r="O26" s="214">
        <v>2006137.509979483</v>
      </c>
      <c r="P26" s="6">
        <f t="shared" si="2"/>
        <v>22396921.144232206</v>
      </c>
      <c r="Q26" s="6"/>
    </row>
    <row r="27" spans="1:17">
      <c r="A27" s="4">
        <f t="shared" si="1"/>
        <v>14</v>
      </c>
      <c r="B27" s="144">
        <v>9220</v>
      </c>
      <c r="C27" s="6" t="s">
        <v>323</v>
      </c>
      <c r="D27" s="214">
        <v>-7204502.6800000016</v>
      </c>
      <c r="E27" s="214">
        <v>-6106733.1499999985</v>
      </c>
      <c r="F27" s="214">
        <v>-6844688.9299999932</v>
      </c>
      <c r="G27" s="214">
        <v>-6008451.9700000025</v>
      </c>
      <c r="H27" s="214">
        <v>-14931070.290000014</v>
      </c>
      <c r="I27" s="214">
        <v>2200870.8299999852</v>
      </c>
      <c r="J27" s="241">
        <f t="shared" ref="J27:O27" si="3">-(SUM(J14:J26,J28:J35))</f>
        <v>-6723910.1800000025</v>
      </c>
      <c r="K27" s="241">
        <f t="shared" si="3"/>
        <v>-7827801.5286666676</v>
      </c>
      <c r="L27" s="241">
        <f t="shared" si="3"/>
        <v>-7366139.9686666699</v>
      </c>
      <c r="M27" s="241">
        <f t="shared" si="3"/>
        <v>-8272202.0286666695</v>
      </c>
      <c r="N27" s="241">
        <f t="shared" si="3"/>
        <v>-7032001.2453333354</v>
      </c>
      <c r="O27" s="241">
        <f t="shared" si="3"/>
        <v>-6295030.2953333361</v>
      </c>
      <c r="P27" s="6">
        <f t="shared" si="2"/>
        <v>-82411661.436666712</v>
      </c>
      <c r="Q27" s="79"/>
    </row>
    <row r="28" spans="1:17">
      <c r="A28" s="4">
        <f t="shared" si="1"/>
        <v>15</v>
      </c>
      <c r="B28" s="144">
        <v>9230</v>
      </c>
      <c r="C28" s="6" t="s">
        <v>324</v>
      </c>
      <c r="D28" s="214">
        <v>554634.34</v>
      </c>
      <c r="E28" s="214">
        <v>481432.66999999993</v>
      </c>
      <c r="F28" s="214">
        <v>555984.48</v>
      </c>
      <c r="G28" s="214">
        <v>917907.62</v>
      </c>
      <c r="H28" s="214">
        <v>627190.75</v>
      </c>
      <c r="I28" s="214">
        <v>682005.23</v>
      </c>
      <c r="J28" s="214">
        <v>654546.32514122978</v>
      </c>
      <c r="K28" s="214">
        <v>715272.8963810174</v>
      </c>
      <c r="L28" s="214">
        <v>720222.0182598806</v>
      </c>
      <c r="M28" s="214">
        <v>718597.5701347359</v>
      </c>
      <c r="N28" s="214">
        <v>751307.12012409198</v>
      </c>
      <c r="O28" s="214">
        <v>725693.5811876629</v>
      </c>
      <c r="P28" s="6">
        <f t="shared" si="2"/>
        <v>8104794.601228619</v>
      </c>
      <c r="Q28" s="6"/>
    </row>
    <row r="29" spans="1:17">
      <c r="A29" s="4">
        <f t="shared" si="1"/>
        <v>16</v>
      </c>
      <c r="B29" s="144">
        <v>9240</v>
      </c>
      <c r="C29" s="6" t="s">
        <v>325</v>
      </c>
      <c r="D29" s="214">
        <v>13536.98</v>
      </c>
      <c r="E29" s="214">
        <v>13536.98</v>
      </c>
      <c r="F29" s="214">
        <v>13536.98</v>
      </c>
      <c r="G29" s="214">
        <v>13536.98</v>
      </c>
      <c r="H29" s="214">
        <v>13615.279999999999</v>
      </c>
      <c r="I29" s="214">
        <v>13543.439999999999</v>
      </c>
      <c r="J29" s="214">
        <v>13835.200289422799</v>
      </c>
      <c r="K29" s="214">
        <v>14784.389220745794</v>
      </c>
      <c r="L29" s="214">
        <v>14983.287925004443</v>
      </c>
      <c r="M29" s="214">
        <v>14983.35668322843</v>
      </c>
      <c r="N29" s="214">
        <v>14983.379373442345</v>
      </c>
      <c r="O29" s="214">
        <v>14983.391291534504</v>
      </c>
      <c r="P29" s="6">
        <f t="shared" si="2"/>
        <v>169859.64478337832</v>
      </c>
      <c r="Q29" s="6"/>
    </row>
    <row r="30" spans="1:17">
      <c r="A30" s="4">
        <f t="shared" si="1"/>
        <v>17</v>
      </c>
      <c r="B30" s="144">
        <v>9250</v>
      </c>
      <c r="C30" s="6" t="s">
        <v>326</v>
      </c>
      <c r="D30" s="214">
        <v>1556099.58</v>
      </c>
      <c r="E30" s="214">
        <v>514911.73999999976</v>
      </c>
      <c r="F30" s="214">
        <v>557022.37999999989</v>
      </c>
      <c r="G30" s="214">
        <v>1557218.5799999998</v>
      </c>
      <c r="H30" s="214">
        <v>1560234.16</v>
      </c>
      <c r="I30" s="214">
        <v>1644852.8399999999</v>
      </c>
      <c r="J30" s="214">
        <v>1598700.0504240855</v>
      </c>
      <c r="K30" s="214">
        <v>1705929.2714354382</v>
      </c>
      <c r="L30" s="214">
        <v>1726834.3294408235</v>
      </c>
      <c r="M30" s="214">
        <v>1730047.6870852425</v>
      </c>
      <c r="N30" s="214">
        <v>1726834.3294408235</v>
      </c>
      <c r="O30" s="214">
        <v>1726834.3294408235</v>
      </c>
      <c r="P30" s="6">
        <f t="shared" si="2"/>
        <v>17605519.277267236</v>
      </c>
      <c r="Q30" s="6"/>
    </row>
    <row r="31" spans="1:17">
      <c r="A31" s="4">
        <f t="shared" si="1"/>
        <v>18</v>
      </c>
      <c r="B31" s="144">
        <v>9260</v>
      </c>
      <c r="C31" s="6" t="s">
        <v>327</v>
      </c>
      <c r="D31" s="214">
        <v>3191076.5699999961</v>
      </c>
      <c r="E31" s="214">
        <v>3057681.0599999968</v>
      </c>
      <c r="F31" s="214">
        <v>2761670.4400000027</v>
      </c>
      <c r="G31" s="214">
        <v>8736017.2399999946</v>
      </c>
      <c r="H31" s="214">
        <v>6882904.7500000112</v>
      </c>
      <c r="I31" s="214">
        <v>1762802.3200000015</v>
      </c>
      <c r="J31" s="214">
        <v>3496495.7220191662</v>
      </c>
      <c r="K31" s="214">
        <v>3363742.329356838</v>
      </c>
      <c r="L31" s="214">
        <v>3701920.891754196</v>
      </c>
      <c r="M31" s="214">
        <v>3791338.8342712107</v>
      </c>
      <c r="N31" s="214">
        <v>3812051.0229517124</v>
      </c>
      <c r="O31" s="214">
        <v>3643470.3610119428</v>
      </c>
      <c r="P31" s="6">
        <f t="shared" si="2"/>
        <v>48201171.541365072</v>
      </c>
      <c r="Q31" s="6"/>
    </row>
    <row r="32" spans="1:17">
      <c r="A32" s="4">
        <f t="shared" si="1"/>
        <v>19</v>
      </c>
      <c r="B32" s="144">
        <v>9301</v>
      </c>
      <c r="C32" s="6" t="s">
        <v>340</v>
      </c>
      <c r="D32" s="214">
        <v>0</v>
      </c>
      <c r="E32" s="214">
        <v>0</v>
      </c>
      <c r="F32" s="214">
        <v>0</v>
      </c>
      <c r="G32" s="214">
        <v>49000</v>
      </c>
      <c r="H32" s="214">
        <v>0</v>
      </c>
      <c r="I32" s="214">
        <v>0</v>
      </c>
      <c r="J32" s="214">
        <v>5428.9684342813534</v>
      </c>
      <c r="K32" s="214">
        <v>4444.7359990364439</v>
      </c>
      <c r="L32" s="214">
        <v>4209.3259088353061</v>
      </c>
      <c r="M32" s="214">
        <v>9286.3265618306923</v>
      </c>
      <c r="N32" s="214">
        <v>6155.1780185119169</v>
      </c>
      <c r="O32" s="214">
        <v>6081.6180412482327</v>
      </c>
      <c r="P32" s="6">
        <f t="shared" si="2"/>
        <v>84606.152963743953</v>
      </c>
      <c r="Q32" s="6"/>
    </row>
    <row r="33" spans="1:18">
      <c r="A33" s="4">
        <f t="shared" si="1"/>
        <v>20</v>
      </c>
      <c r="B33" s="144">
        <v>9302</v>
      </c>
      <c r="C33" s="6" t="s">
        <v>330</v>
      </c>
      <c r="D33" s="214">
        <v>1754684.69</v>
      </c>
      <c r="E33" s="214">
        <v>264937.00999999995</v>
      </c>
      <c r="F33" s="214">
        <v>76913.89</v>
      </c>
      <c r="G33" s="214">
        <v>317125.99000000005</v>
      </c>
      <c r="H33" s="214">
        <v>363534.39000000007</v>
      </c>
      <c r="I33" s="214">
        <v>82445.079999999987</v>
      </c>
      <c r="J33" s="214">
        <v>332147.74997282546</v>
      </c>
      <c r="K33" s="214">
        <v>291416.11199540284</v>
      </c>
      <c r="L33" s="214">
        <v>268744.94624794909</v>
      </c>
      <c r="M33" s="214">
        <v>540582.17082217766</v>
      </c>
      <c r="N33" s="214">
        <v>373503.55196243984</v>
      </c>
      <c r="O33" s="214">
        <v>366998.30544584792</v>
      </c>
      <c r="P33" s="6">
        <f t="shared" si="2"/>
        <v>5033033.8864466436</v>
      </c>
      <c r="Q33" s="6"/>
    </row>
    <row r="34" spans="1:18">
      <c r="A34" s="4">
        <f t="shared" si="1"/>
        <v>21</v>
      </c>
      <c r="B34" s="144">
        <v>9310</v>
      </c>
      <c r="C34" s="6" t="s">
        <v>209</v>
      </c>
      <c r="D34" s="214">
        <v>425099.12000000005</v>
      </c>
      <c r="E34" s="214">
        <v>415146.39000000013</v>
      </c>
      <c r="F34" s="214">
        <v>438152.84000000014</v>
      </c>
      <c r="G34" s="214">
        <v>410794.48</v>
      </c>
      <c r="H34" s="214">
        <v>431262.11000000004</v>
      </c>
      <c r="I34" s="214">
        <v>404455.09000000008</v>
      </c>
      <c r="J34" s="214">
        <v>443653.50976625265</v>
      </c>
      <c r="K34" s="214">
        <v>472809.36389307916</v>
      </c>
      <c r="L34" s="214">
        <v>472415.08858076163</v>
      </c>
      <c r="M34" s="214">
        <v>440956.26265308785</v>
      </c>
      <c r="N34" s="214">
        <v>441146.69953790621</v>
      </c>
      <c r="O34" s="214">
        <v>440844.82376788132</v>
      </c>
      <c r="P34" s="6">
        <f t="shared" si="2"/>
        <v>5236735.7781989686</v>
      </c>
      <c r="Q34" s="6"/>
    </row>
    <row r="35" spans="1:18">
      <c r="A35" s="4">
        <f t="shared" si="1"/>
        <v>22</v>
      </c>
      <c r="B35" s="144">
        <v>9320</v>
      </c>
      <c r="C35" s="6" t="s">
        <v>331</v>
      </c>
      <c r="D35" s="214">
        <v>53285.08</v>
      </c>
      <c r="E35" s="214">
        <v>43331.92</v>
      </c>
      <c r="F35" s="214">
        <v>79999.809999999983</v>
      </c>
      <c r="G35" s="214">
        <v>52072.6</v>
      </c>
      <c r="H35" s="214">
        <v>16688.240000000002</v>
      </c>
      <c r="I35" s="214">
        <v>31285.159999999996</v>
      </c>
      <c r="J35" s="214">
        <v>58823.604207868397</v>
      </c>
      <c r="K35" s="214">
        <v>69424.51724428068</v>
      </c>
      <c r="L35" s="214">
        <v>60937.243038643341</v>
      </c>
      <c r="M35" s="214">
        <v>62350.707278524991</v>
      </c>
      <c r="N35" s="214">
        <v>60059.680370641057</v>
      </c>
      <c r="O35" s="214">
        <v>58880.365097055837</v>
      </c>
      <c r="P35" s="6">
        <f t="shared" si="2"/>
        <v>647138.92723701429</v>
      </c>
      <c r="Q35" s="6"/>
    </row>
    <row r="36" spans="1:18" ht="15.75" thickBot="1">
      <c r="A36" s="4">
        <f t="shared" si="1"/>
        <v>23</v>
      </c>
      <c r="B36" s="6" t="s">
        <v>332</v>
      </c>
      <c r="C36" s="242"/>
      <c r="D36" s="230">
        <f t="shared" ref="D36:O36" si="4">SUM(D14:D35)</f>
        <v>42373.679999994914</v>
      </c>
      <c r="E36" s="230">
        <f t="shared" si="4"/>
        <v>-999658.93000000168</v>
      </c>
      <c r="F36" s="230">
        <f t="shared" si="4"/>
        <v>-999422.61999999045</v>
      </c>
      <c r="G36" s="230">
        <f t="shared" si="4"/>
        <v>4950557.1599999946</v>
      </c>
      <c r="H36" s="230">
        <f t="shared" si="4"/>
        <v>-8820344.7800000068</v>
      </c>
      <c r="I36" s="230">
        <f t="shared" si="4"/>
        <v>3867442.6299999831</v>
      </c>
      <c r="J36" s="230">
        <f t="shared" si="4"/>
        <v>-1.57160684466362E-9</v>
      </c>
      <c r="K36" s="230">
        <f t="shared" si="4"/>
        <v>1.8189894035458565E-9</v>
      </c>
      <c r="L36" s="230">
        <f t="shared" si="4"/>
        <v>-2.1827872842550278E-10</v>
      </c>
      <c r="M36" s="230">
        <f t="shared" si="4"/>
        <v>-9.3132257461547852E-10</v>
      </c>
      <c r="N36" s="230">
        <f t="shared" si="4"/>
        <v>6.4028427004814148E-10</v>
      </c>
      <c r="O36" s="230">
        <f t="shared" si="4"/>
        <v>1.0186340659856796E-10</v>
      </c>
      <c r="P36" s="230">
        <f>SUM(P12:P35)</f>
        <v>2848369.1299999766</v>
      </c>
      <c r="Q36" s="6"/>
    </row>
    <row r="37" spans="1:18" ht="15.75" thickTop="1">
      <c r="A37" s="4">
        <f t="shared" si="1"/>
        <v>24</v>
      </c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6"/>
      <c r="Q37" s="6"/>
    </row>
    <row r="38" spans="1:18">
      <c r="A38" s="4">
        <f t="shared" si="1"/>
        <v>25</v>
      </c>
      <c r="B38" s="211">
        <f>B27</f>
        <v>9220</v>
      </c>
      <c r="C38" s="211" t="str">
        <f>C27</f>
        <v>A&amp;G-Administrative expense transferred-Credit</v>
      </c>
      <c r="D38" s="243">
        <f>D27</f>
        <v>-7204502.6800000016</v>
      </c>
      <c r="E38" s="243">
        <f t="shared" ref="E38:I38" si="5">E27</f>
        <v>-6106733.1499999985</v>
      </c>
      <c r="F38" s="243">
        <f t="shared" si="5"/>
        <v>-6844688.9299999932</v>
      </c>
      <c r="G38" s="243">
        <f t="shared" si="5"/>
        <v>-6008451.9700000025</v>
      </c>
      <c r="H38" s="243">
        <f t="shared" si="5"/>
        <v>-14931070.290000014</v>
      </c>
      <c r="I38" s="243">
        <f t="shared" si="5"/>
        <v>2200870.8299999852</v>
      </c>
      <c r="J38" s="243">
        <f t="shared" ref="J38:K38" si="6">-(J36-J27)</f>
        <v>-6723910.1800000006</v>
      </c>
      <c r="K38" s="243">
        <f t="shared" si="6"/>
        <v>-7827801.5286666695</v>
      </c>
      <c r="L38" s="243">
        <f>L27</f>
        <v>-7366139.9686666699</v>
      </c>
      <c r="M38" s="243">
        <f>M27</f>
        <v>-8272202.0286666695</v>
      </c>
      <c r="N38" s="243">
        <f>N27</f>
        <v>-7032001.2453333354</v>
      </c>
      <c r="O38" s="243">
        <f>O27</f>
        <v>-6295030.2953333361</v>
      </c>
      <c r="P38" s="6">
        <f t="shared" ref="P38" si="7">SUM(D38:O38)</f>
        <v>-82411661.436666712</v>
      </c>
      <c r="Q38" s="6"/>
    </row>
    <row r="39" spans="1:18">
      <c r="A39" s="4">
        <f t="shared" si="1"/>
        <v>26</v>
      </c>
      <c r="B39" s="5"/>
      <c r="C39" s="244" t="s">
        <v>341</v>
      </c>
      <c r="D39" s="245">
        <f>D40/D38</f>
        <v>5.4236575008116995E-2</v>
      </c>
      <c r="E39" s="245">
        <f t="shared" ref="E39:I39" si="8">E40/E38</f>
        <v>5.4800545853227613E-2</v>
      </c>
      <c r="F39" s="245">
        <f t="shared" si="8"/>
        <v>5.4733425263198979E-2</v>
      </c>
      <c r="G39" s="245">
        <f t="shared" si="8"/>
        <v>5.4849201033057411E-2</v>
      </c>
      <c r="H39" s="245">
        <f t="shared" si="8"/>
        <v>5.3945858826976244E-2</v>
      </c>
      <c r="I39" s="245">
        <f t="shared" si="8"/>
        <v>4.9965758326671418E-2</v>
      </c>
      <c r="J39" s="245">
        <v>5.2575879716356848E-2</v>
      </c>
      <c r="K39" s="245">
        <v>5.2575879716356848E-2</v>
      </c>
      <c r="L39" s="245">
        <v>5.2575879716356848E-2</v>
      </c>
      <c r="M39" s="245">
        <v>5.2575879716356848E-2</v>
      </c>
      <c r="N39" s="245">
        <v>5.2575879716356848E-2</v>
      </c>
      <c r="O39" s="245">
        <v>5.2575879716356848E-2</v>
      </c>
      <c r="P39" s="245">
        <f t="shared" ref="P39" si="9">P40/P38</f>
        <v>5.3548758908672334E-2</v>
      </c>
      <c r="Q39" s="6"/>
      <c r="R39" s="213"/>
    </row>
    <row r="40" spans="1:18">
      <c r="A40" s="4">
        <f t="shared" si="1"/>
        <v>27</v>
      </c>
      <c r="B40" s="5"/>
      <c r="C40" s="5" t="s">
        <v>342</v>
      </c>
      <c r="D40" s="5">
        <v>-390747.55</v>
      </c>
      <c r="E40" s="5">
        <v>-334652.31</v>
      </c>
      <c r="F40" s="5">
        <v>-374633.27</v>
      </c>
      <c r="G40" s="5">
        <v>-329558.78999999998</v>
      </c>
      <c r="H40" s="5">
        <v>-805469.41</v>
      </c>
      <c r="I40" s="5">
        <v>109968.18</v>
      </c>
      <c r="J40" s="5">
        <f t="shared" ref="J40:O40" si="10">J38*J39</f>
        <v>-353515.49284726736</v>
      </c>
      <c r="K40" s="5">
        <f t="shared" si="10"/>
        <v>-411553.55161469307</v>
      </c>
      <c r="L40" s="5">
        <f t="shared" si="10"/>
        <v>-387281.28896646743</v>
      </c>
      <c r="M40" s="5">
        <f t="shared" si="10"/>
        <v>-434918.29884858191</v>
      </c>
      <c r="N40" s="5">
        <f t="shared" si="10"/>
        <v>-369713.65163991699</v>
      </c>
      <c r="O40" s="5">
        <f t="shared" si="10"/>
        <v>-330966.75561826781</v>
      </c>
      <c r="P40" s="5">
        <f>SUM(D40:O40)</f>
        <v>-4413042.189535195</v>
      </c>
      <c r="Q40" s="6"/>
      <c r="R40" s="213"/>
    </row>
    <row r="41" spans="1:18">
      <c r="A41" s="6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0"/>
      <c r="P41" s="190"/>
      <c r="Q41" s="6"/>
    </row>
    <row r="42" spans="1:18">
      <c r="A42" s="6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0"/>
      <c r="P42" s="190"/>
      <c r="Q42" s="6"/>
    </row>
    <row r="43" spans="1:18">
      <c r="A43" s="6"/>
      <c r="B43" s="6" t="s">
        <v>343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190"/>
      <c r="Q43" s="6"/>
    </row>
    <row r="44" spans="1:18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16"/>
      <c r="Q44" s="6"/>
    </row>
    <row r="45" spans="1:18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90"/>
      <c r="Q45" s="6"/>
    </row>
    <row r="46" spans="1:18">
      <c r="A46" s="6"/>
      <c r="B46" s="6" t="s">
        <v>335</v>
      </c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90"/>
      <c r="Q46" s="6"/>
    </row>
    <row r="47" spans="1:18">
      <c r="A47" s="6"/>
      <c r="B47" s="6" t="s">
        <v>336</v>
      </c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90"/>
      <c r="Q47" s="168"/>
    </row>
    <row r="48" spans="1:18">
      <c r="A48" s="6"/>
      <c r="B48" s="6" t="s">
        <v>337</v>
      </c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46"/>
      <c r="P48" s="190"/>
      <c r="Q48" s="247"/>
    </row>
    <row r="49" spans="1:17">
      <c r="A49" s="6"/>
      <c r="B49" s="6"/>
      <c r="C49" s="12" t="s">
        <v>344</v>
      </c>
      <c r="D49" s="8">
        <v>3</v>
      </c>
      <c r="E49" s="203">
        <v>4</v>
      </c>
      <c r="F49" s="203">
        <v>5</v>
      </c>
      <c r="G49" s="8">
        <v>6</v>
      </c>
      <c r="H49" s="8">
        <v>7</v>
      </c>
      <c r="I49" s="8">
        <v>8</v>
      </c>
      <c r="J49" s="203">
        <v>9</v>
      </c>
      <c r="K49" s="203">
        <v>10</v>
      </c>
      <c r="L49" s="8">
        <v>11</v>
      </c>
      <c r="M49" s="8">
        <v>12</v>
      </c>
      <c r="N49" s="8">
        <v>13</v>
      </c>
      <c r="O49" s="8">
        <v>14</v>
      </c>
      <c r="P49" s="190"/>
      <c r="Q49" s="247"/>
    </row>
    <row r="50" spans="1:17">
      <c r="A50" s="6"/>
      <c r="B50" s="6"/>
      <c r="C50" s="6"/>
      <c r="D50" s="39"/>
      <c r="E50" s="39"/>
      <c r="F50" s="39"/>
      <c r="G50" s="39"/>
      <c r="H50" s="39"/>
      <c r="I50" s="39"/>
      <c r="J50" s="39"/>
      <c r="K50" s="248"/>
      <c r="L50" s="248"/>
      <c r="M50" s="248"/>
      <c r="N50" s="248"/>
      <c r="O50" s="195"/>
      <c r="P50" s="190"/>
      <c r="Q50" s="247"/>
    </row>
    <row r="51" spans="1:17">
      <c r="A51" s="6"/>
      <c r="B51" s="79"/>
      <c r="C51" s="7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0"/>
      <c r="P51" s="190"/>
      <c r="Q51" s="247"/>
    </row>
    <row r="52" spans="1:17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47"/>
    </row>
    <row r="53" spans="1:17">
      <c r="A53" s="6"/>
      <c r="B53" s="6"/>
      <c r="C53" s="6"/>
      <c r="D53" s="5"/>
      <c r="E53" s="5"/>
      <c r="F53" s="5"/>
      <c r="G53" s="5"/>
      <c r="H53" s="5"/>
      <c r="I53" s="5"/>
      <c r="J53" s="5"/>
      <c r="K53" s="9"/>
      <c r="L53" s="5"/>
      <c r="M53" s="5"/>
      <c r="N53" s="5"/>
      <c r="O53" s="5"/>
      <c r="P53" s="5"/>
      <c r="Q53" s="6"/>
    </row>
    <row r="54" spans="1:17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>
      <c r="A55" s="6"/>
      <c r="B55" s="6"/>
      <c r="C55" s="79"/>
      <c r="D55" s="5"/>
      <c r="E55" s="5"/>
      <c r="F55" s="5"/>
      <c r="G55" s="5"/>
      <c r="H55" s="5"/>
      <c r="I55" s="5"/>
      <c r="J55" s="5"/>
      <c r="K55" s="5"/>
      <c r="L55" s="5"/>
      <c r="M55" s="215"/>
      <c r="N55" s="5"/>
      <c r="O55" s="5"/>
      <c r="P55" s="5"/>
      <c r="Q55" s="6"/>
    </row>
    <row r="56" spans="1:17">
      <c r="A56" s="6"/>
      <c r="B56" s="6"/>
      <c r="C56" s="79"/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5"/>
      <c r="P56" s="6"/>
      <c r="Q56" s="6"/>
    </row>
    <row r="57" spans="1:17">
      <c r="O57" s="12"/>
      <c r="P57" s="9"/>
    </row>
    <row r="58" spans="1:17">
      <c r="O58" s="195"/>
    </row>
    <row r="59" spans="1:17">
      <c r="O59" s="195"/>
      <c r="P59" s="9"/>
    </row>
    <row r="61" spans="1:17">
      <c r="C61" s="7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9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</row>
    <row r="2" spans="1:17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</row>
    <row r="3" spans="1:17" ht="15.75">
      <c r="A3" s="310" t="s">
        <v>345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</row>
    <row r="4" spans="1:17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</row>
    <row r="5" spans="1:17">
      <c r="A5" s="6"/>
      <c r="B5" s="158"/>
      <c r="C5" s="158"/>
      <c r="D5" s="158"/>
      <c r="E5" s="158"/>
      <c r="F5" s="158"/>
      <c r="G5" s="236"/>
      <c r="H5" s="158"/>
      <c r="I5" s="158"/>
      <c r="J5" s="158"/>
      <c r="K5" s="158"/>
      <c r="L5" s="158"/>
      <c r="M5" s="158"/>
      <c r="N5" s="158"/>
      <c r="O5" s="249"/>
      <c r="P5" s="6"/>
      <c r="Q5" s="6"/>
    </row>
    <row r="6" spans="1:17" ht="15.75">
      <c r="A6" s="11" t="str">
        <f>'C.2.2 B 09'!A6</f>
        <v>Data:___X____Base Period________Forecasted Period</v>
      </c>
      <c r="B6" s="194"/>
      <c r="C6" s="11"/>
      <c r="D6" s="237"/>
      <c r="E6" s="6"/>
      <c r="F6" s="6"/>
      <c r="G6" s="6"/>
      <c r="H6" s="6"/>
      <c r="I6" s="6"/>
      <c r="J6" s="6"/>
      <c r="K6" s="6"/>
      <c r="L6" s="6"/>
      <c r="M6" s="6"/>
      <c r="N6" s="194"/>
      <c r="O6" s="194"/>
      <c r="P6" s="195" t="s">
        <v>235</v>
      </c>
      <c r="Q6" s="6"/>
    </row>
    <row r="7" spans="1:17">
      <c r="A7" s="11" t="str">
        <f>'C.2.2 B 09'!A7</f>
        <v>Type of Filing:___X____Original________Updated ________Revised</v>
      </c>
      <c r="B7" s="194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194"/>
      <c r="O7" s="194"/>
      <c r="P7" s="196" t="s">
        <v>236</v>
      </c>
      <c r="Q7" s="6"/>
    </row>
    <row r="8" spans="1:17">
      <c r="A8" s="59" t="str">
        <f>'C.2.2 B 09'!A8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3"/>
      <c r="N8" s="197"/>
      <c r="O8" s="197"/>
      <c r="P8" s="198" t="str">
        <f>C.1!J9</f>
        <v>Witness: Waller, Smith</v>
      </c>
      <c r="Q8" s="6"/>
    </row>
    <row r="9" spans="1:17">
      <c r="A9" s="199" t="s">
        <v>21</v>
      </c>
      <c r="B9" s="200" t="s">
        <v>237</v>
      </c>
      <c r="C9" s="201"/>
      <c r="D9" s="63" t="str">
        <f>'C.2.2 B 09'!D9</f>
        <v>actual</v>
      </c>
      <c r="E9" s="63" t="str">
        <f>'C.2.2 B 09'!F9</f>
        <v>actual</v>
      </c>
      <c r="F9" s="63" t="str">
        <f>'C.2.2 B 09'!F9</f>
        <v>actual</v>
      </c>
      <c r="G9" s="63" t="str">
        <f>'C.2.2 B 09'!G9</f>
        <v>actual</v>
      </c>
      <c r="H9" s="63" t="str">
        <f>'C.2.2 B 09'!H9</f>
        <v>actual</v>
      </c>
      <c r="I9" s="63" t="str">
        <f>'C.2.2 B 09'!I9</f>
        <v>actual</v>
      </c>
      <c r="J9" s="63" t="str">
        <f>'C.2.2 B 09'!J9</f>
        <v>Forecasted</v>
      </c>
      <c r="K9" s="63" t="str">
        <f>'C.2.2 B 09'!K9</f>
        <v>Budgeted</v>
      </c>
      <c r="L9" s="63" t="str">
        <f>'C.2.2 B 09'!L9</f>
        <v>Budgeted</v>
      </c>
      <c r="M9" s="63" t="str">
        <f>'C.2.2 B 09'!M9</f>
        <v>Budgeted</v>
      </c>
      <c r="N9" s="63" t="str">
        <f>'C.2.2 B 09'!N9</f>
        <v>Budgeted</v>
      </c>
      <c r="O9" s="63" t="str">
        <f>'C.2.2 B 09'!O9</f>
        <v>Budgeted</v>
      </c>
      <c r="P9" s="239"/>
      <c r="Q9" s="4"/>
    </row>
    <row r="10" spans="1:17">
      <c r="A10" s="205" t="s">
        <v>24</v>
      </c>
      <c r="B10" s="1" t="s">
        <v>24</v>
      </c>
      <c r="C10" s="206" t="s">
        <v>240</v>
      </c>
      <c r="D10" s="240">
        <f>'C.2.2 B 09'!D10</f>
        <v>42094</v>
      </c>
      <c r="E10" s="240">
        <f>'C.2.2 B 09'!F10</f>
        <v>42155</v>
      </c>
      <c r="F10" s="240">
        <f>'C.2.2 B 09'!F10</f>
        <v>42155</v>
      </c>
      <c r="G10" s="240">
        <f>'C.2.2 B 09'!G10</f>
        <v>42185</v>
      </c>
      <c r="H10" s="240">
        <f>'C.2.2 B 09'!H10</f>
        <v>42216</v>
      </c>
      <c r="I10" s="240">
        <f>'C.2.2 B 09'!I10</f>
        <v>42247</v>
      </c>
      <c r="J10" s="240">
        <f>'C.2.2 B 09'!J10</f>
        <v>42277</v>
      </c>
      <c r="K10" s="240">
        <f>'C.2.2 B 09'!K10</f>
        <v>42308</v>
      </c>
      <c r="L10" s="240">
        <f>'C.2.2 B 09'!L10</f>
        <v>42338</v>
      </c>
      <c r="M10" s="240">
        <f>'C.2.2 B 09'!M10</f>
        <v>42369</v>
      </c>
      <c r="N10" s="240">
        <f>'C.2.2 B 09'!N10</f>
        <v>42400</v>
      </c>
      <c r="O10" s="240">
        <f>'C.2.2 B 09'!O10</f>
        <v>42429</v>
      </c>
      <c r="P10" s="240" t="str">
        <f>'C.2.2 B 09'!P10</f>
        <v>Total</v>
      </c>
      <c r="Q10" s="210"/>
    </row>
    <row r="11" spans="1:17">
      <c r="A11" s="194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</row>
    <row r="12" spans="1:17">
      <c r="A12" s="4">
        <v>1</v>
      </c>
      <c r="B12" s="144">
        <v>4030</v>
      </c>
      <c r="C12" s="6" t="s">
        <v>70</v>
      </c>
      <c r="D12" s="214">
        <v>2.9103830456733704E-11</v>
      </c>
      <c r="E12" s="214">
        <v>2.9103830456733704E-11</v>
      </c>
      <c r="F12" s="214">
        <v>1.0186340659856796E-10</v>
      </c>
      <c r="G12" s="214">
        <v>-5.8207660913467407E-11</v>
      </c>
      <c r="H12" s="214">
        <v>-1.1641532182693481E-10</v>
      </c>
      <c r="I12" s="214">
        <v>7.2759576141834259E-12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6">
        <f t="shared" ref="P12:P25" si="0">SUM(D12:O12)</f>
        <v>-7.2759576141834259E-12</v>
      </c>
      <c r="Q12" s="79"/>
    </row>
    <row r="13" spans="1:17">
      <c r="A13" s="4">
        <f>A12+1</f>
        <v>2</v>
      </c>
      <c r="B13" s="144">
        <v>4081</v>
      </c>
      <c r="C13" s="6" t="s">
        <v>245</v>
      </c>
      <c r="D13" s="214">
        <v>-2.9103830456733704E-11</v>
      </c>
      <c r="E13" s="214">
        <v>1.0000000052968971E-2</v>
      </c>
      <c r="F13" s="214">
        <v>-2.4318325131389429E-11</v>
      </c>
      <c r="G13" s="214">
        <v>-9.99999999275758E-3</v>
      </c>
      <c r="H13" s="214">
        <v>1.4551915228366852E-11</v>
      </c>
      <c r="I13" s="214">
        <v>-1.9099388737231493E-11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6">
        <f t="shared" si="0"/>
        <v>2.2417623313231161E-12</v>
      </c>
      <c r="Q13" s="6"/>
    </row>
    <row r="14" spans="1:17">
      <c r="A14" s="4">
        <f t="shared" ref="A14:A35" si="1">A13+1</f>
        <v>3</v>
      </c>
      <c r="B14" s="144">
        <v>8700</v>
      </c>
      <c r="C14" s="6" t="s">
        <v>292</v>
      </c>
      <c r="D14" s="214">
        <v>0</v>
      </c>
      <c r="E14" s="214">
        <v>0</v>
      </c>
      <c r="F14" s="214">
        <v>110.8</v>
      </c>
      <c r="G14" s="214">
        <v>0</v>
      </c>
      <c r="H14" s="214">
        <v>0</v>
      </c>
      <c r="I14" s="214">
        <v>0</v>
      </c>
      <c r="J14" s="116">
        <v>11.512789127790336</v>
      </c>
      <c r="K14" s="116">
        <v>11.343658236366004</v>
      </c>
      <c r="L14" s="116">
        <v>10.761569823572707</v>
      </c>
      <c r="M14" s="116">
        <v>12.461851198899561</v>
      </c>
      <c r="N14" s="116">
        <v>12.307076245208858</v>
      </c>
      <c r="O14" s="116">
        <v>9.3742030285335787</v>
      </c>
      <c r="P14" s="6">
        <f t="shared" si="0"/>
        <v>178.56114766037103</v>
      </c>
      <c r="Q14" s="6"/>
    </row>
    <row r="15" spans="1:17">
      <c r="A15" s="4">
        <f t="shared" si="1"/>
        <v>4</v>
      </c>
      <c r="B15" s="144">
        <v>8740</v>
      </c>
      <c r="C15" s="6" t="s">
        <v>296</v>
      </c>
      <c r="D15" s="214">
        <v>576.29</v>
      </c>
      <c r="E15" s="214">
        <v>2015.51</v>
      </c>
      <c r="F15" s="214">
        <v>1092.17</v>
      </c>
      <c r="G15" s="214">
        <v>1424.9099999999999</v>
      </c>
      <c r="H15" s="214">
        <v>1268.17</v>
      </c>
      <c r="I15" s="214">
        <v>3850.36</v>
      </c>
      <c r="J15" s="116">
        <v>1944.2721978116338</v>
      </c>
      <c r="K15" s="116">
        <v>1944.2721978116338</v>
      </c>
      <c r="L15" s="116">
        <v>1944.2721978116338</v>
      </c>
      <c r="M15" s="116">
        <v>1944.2721978116338</v>
      </c>
      <c r="N15" s="116">
        <v>1944.2721978116338</v>
      </c>
      <c r="O15" s="116">
        <v>1944.2721978116338</v>
      </c>
      <c r="P15" s="6">
        <f t="shared" si="0"/>
        <v>21893.043186869803</v>
      </c>
      <c r="Q15" s="6"/>
    </row>
    <row r="16" spans="1:17">
      <c r="A16" s="4">
        <f t="shared" si="1"/>
        <v>5</v>
      </c>
      <c r="B16" s="144">
        <v>8800</v>
      </c>
      <c r="C16" s="6" t="s">
        <v>302</v>
      </c>
      <c r="D16" s="214">
        <v>0</v>
      </c>
      <c r="E16" s="214">
        <v>0</v>
      </c>
      <c r="F16" s="214">
        <v>0</v>
      </c>
      <c r="G16" s="214">
        <v>0</v>
      </c>
      <c r="H16" s="214">
        <v>86.64</v>
      </c>
      <c r="I16" s="214">
        <v>0</v>
      </c>
      <c r="J16" s="116">
        <v>9.4147347532987116</v>
      </c>
      <c r="K16" s="116">
        <v>8.2701220092074461</v>
      </c>
      <c r="L16" s="116">
        <v>10.752357998372652</v>
      </c>
      <c r="M16" s="116">
        <v>7.6915742923715502</v>
      </c>
      <c r="N16" s="116">
        <v>6.5933227042125786</v>
      </c>
      <c r="O16" s="116">
        <v>6.0170460944030433</v>
      </c>
      <c r="P16" s="6">
        <f t="shared" si="0"/>
        <v>135.37915785186598</v>
      </c>
      <c r="Q16" s="6"/>
    </row>
    <row r="17" spans="1:17">
      <c r="A17" s="4">
        <f t="shared" si="1"/>
        <v>6</v>
      </c>
      <c r="B17" s="144">
        <v>9010</v>
      </c>
      <c r="C17" s="6" t="s">
        <v>339</v>
      </c>
      <c r="D17" s="214">
        <v>492128.35</v>
      </c>
      <c r="E17" s="214">
        <v>506968.62999999983</v>
      </c>
      <c r="F17" s="214">
        <v>484013.91</v>
      </c>
      <c r="G17" s="214">
        <v>513243.63000000006</v>
      </c>
      <c r="H17" s="214">
        <v>517441.16000000015</v>
      </c>
      <c r="I17" s="214">
        <v>482174.60000000015</v>
      </c>
      <c r="J17" s="116">
        <v>486014.30371933634</v>
      </c>
      <c r="K17" s="116">
        <v>492955.17758914107</v>
      </c>
      <c r="L17" s="116">
        <v>471502.18117754912</v>
      </c>
      <c r="M17" s="116">
        <v>516119.47413596848</v>
      </c>
      <c r="N17" s="116">
        <v>475749.51810322661</v>
      </c>
      <c r="O17" s="116">
        <v>468584.52730546973</v>
      </c>
      <c r="P17" s="6">
        <f t="shared" si="0"/>
        <v>5906895.462030692</v>
      </c>
      <c r="Q17" s="6"/>
    </row>
    <row r="18" spans="1:17">
      <c r="A18" s="4">
        <f t="shared" si="1"/>
        <v>7</v>
      </c>
      <c r="B18" s="144">
        <v>9020</v>
      </c>
      <c r="C18" s="6" t="s">
        <v>313</v>
      </c>
      <c r="D18" s="214">
        <v>0</v>
      </c>
      <c r="E18" s="214">
        <v>0</v>
      </c>
      <c r="F18" s="214">
        <v>0</v>
      </c>
      <c r="G18" s="214">
        <v>0</v>
      </c>
      <c r="H18" s="214">
        <v>647.53</v>
      </c>
      <c r="I18" s="214">
        <v>0</v>
      </c>
      <c r="J18" s="116">
        <v>67.282277472184802</v>
      </c>
      <c r="K18" s="116">
        <v>66.293853951210082</v>
      </c>
      <c r="L18" s="116">
        <v>62.892051514964223</v>
      </c>
      <c r="M18" s="116">
        <v>72.828722985771051</v>
      </c>
      <c r="N18" s="116">
        <v>71.924197482491806</v>
      </c>
      <c r="O18" s="116">
        <v>54.784094648613255</v>
      </c>
      <c r="P18" s="6">
        <f t="shared" si="0"/>
        <v>1043.535198055235</v>
      </c>
      <c r="Q18" s="6"/>
    </row>
    <row r="19" spans="1:17">
      <c r="A19" s="4">
        <f t="shared" si="1"/>
        <v>8</v>
      </c>
      <c r="B19" s="144">
        <v>9030</v>
      </c>
      <c r="C19" s="6" t="s">
        <v>314</v>
      </c>
      <c r="D19" s="214">
        <v>2002011.2499999998</v>
      </c>
      <c r="E19" s="214">
        <v>2081127.2300000002</v>
      </c>
      <c r="F19" s="214">
        <v>1934126.7400000002</v>
      </c>
      <c r="G19" s="214">
        <v>1931715.2699999998</v>
      </c>
      <c r="H19" s="214">
        <v>2068679.1599999997</v>
      </c>
      <c r="I19" s="214">
        <v>1808885.1700000004</v>
      </c>
      <c r="J19" s="116">
        <v>1951397.8726052137</v>
      </c>
      <c r="K19" s="116">
        <v>2041452.5456392185</v>
      </c>
      <c r="L19" s="116">
        <v>1905383.5533197431</v>
      </c>
      <c r="M19" s="116">
        <v>2078745.277267073</v>
      </c>
      <c r="N19" s="116">
        <v>1955371.2923865118</v>
      </c>
      <c r="O19" s="116">
        <v>1903225.0414688229</v>
      </c>
      <c r="P19" s="6">
        <f t="shared" si="0"/>
        <v>23662120.402686585</v>
      </c>
      <c r="Q19" s="6"/>
    </row>
    <row r="20" spans="1:17">
      <c r="A20" s="4">
        <f t="shared" si="1"/>
        <v>9</v>
      </c>
      <c r="B20" s="144">
        <v>9200</v>
      </c>
      <c r="C20" s="6" t="s">
        <v>321</v>
      </c>
      <c r="D20" s="214">
        <v>397661.68</v>
      </c>
      <c r="E20" s="214">
        <v>345241.76</v>
      </c>
      <c r="F20" s="214">
        <v>332031.28999999998</v>
      </c>
      <c r="G20" s="214">
        <v>327601.55</v>
      </c>
      <c r="H20" s="214">
        <v>366879.32</v>
      </c>
      <c r="I20" s="214">
        <v>374650.87</v>
      </c>
      <c r="J20" s="116">
        <v>357551.84747406084</v>
      </c>
      <c r="K20" s="116">
        <v>365099.56907697639</v>
      </c>
      <c r="L20" s="116">
        <v>349087.72095105256</v>
      </c>
      <c r="M20" s="116">
        <v>381126.70957916311</v>
      </c>
      <c r="N20" s="116">
        <v>349065.10628278391</v>
      </c>
      <c r="O20" s="116">
        <v>349065.23505700979</v>
      </c>
      <c r="P20" s="6">
        <f t="shared" si="0"/>
        <v>4295062.6584210461</v>
      </c>
      <c r="Q20" s="6"/>
    </row>
    <row r="21" spans="1:17">
      <c r="A21" s="4">
        <f t="shared" si="1"/>
        <v>10</v>
      </c>
      <c r="B21" s="144">
        <v>9210</v>
      </c>
      <c r="C21" s="6" t="s">
        <v>322</v>
      </c>
      <c r="D21" s="214">
        <v>827251.4</v>
      </c>
      <c r="E21" s="214">
        <v>819939.57999999961</v>
      </c>
      <c r="F21" s="214">
        <v>894493.91</v>
      </c>
      <c r="G21" s="214">
        <v>879145.65</v>
      </c>
      <c r="H21" s="214">
        <v>936394.11999999988</v>
      </c>
      <c r="I21" s="214">
        <v>874386.96000000031</v>
      </c>
      <c r="J21" s="116">
        <v>250285.00072836917</v>
      </c>
      <c r="K21" s="116">
        <v>218204.73640235869</v>
      </c>
      <c r="L21" s="116">
        <v>219028.16632233048</v>
      </c>
      <c r="M21" s="116">
        <v>274115.33519323886</v>
      </c>
      <c r="N21" s="116">
        <v>216051.37562745909</v>
      </c>
      <c r="O21" s="116">
        <v>208814.04274894169</v>
      </c>
      <c r="P21" s="6">
        <f t="shared" si="0"/>
        <v>6618110.277022697</v>
      </c>
      <c r="Q21" s="6"/>
    </row>
    <row r="22" spans="1:17">
      <c r="A22" s="4">
        <f t="shared" si="1"/>
        <v>11</v>
      </c>
      <c r="B22" s="144">
        <v>9220</v>
      </c>
      <c r="C22" s="6" t="s">
        <v>323</v>
      </c>
      <c r="D22" s="214">
        <v>-5012946.4200000009</v>
      </c>
      <c r="E22" s="214">
        <v>-5016265.3699999992</v>
      </c>
      <c r="F22" s="214">
        <v>-4967862.3299999991</v>
      </c>
      <c r="G22" s="214">
        <v>-4893450.7599999988</v>
      </c>
      <c r="H22" s="214">
        <v>-5310774.2</v>
      </c>
      <c r="I22" s="214">
        <v>-4726287.3599999975</v>
      </c>
      <c r="J22" s="116">
        <f t="shared" ref="J22:O22" si="2">-(SUM(J12:J21)+SUM(J23:J28))</f>
        <v>-4257402.8</v>
      </c>
      <c r="K22" s="116">
        <f t="shared" si="2"/>
        <v>-4290022.42</v>
      </c>
      <c r="L22" s="116">
        <f t="shared" si="2"/>
        <v>-4100092.34</v>
      </c>
      <c r="M22" s="116">
        <f t="shared" si="2"/>
        <v>-4469999</v>
      </c>
      <c r="N22" s="116">
        <f t="shared" si="2"/>
        <v>-4111676.4000000004</v>
      </c>
      <c r="O22" s="116">
        <f t="shared" si="2"/>
        <v>-4042121.9699999997</v>
      </c>
      <c r="P22" s="6">
        <f t="shared" si="0"/>
        <v>-55198901.369999982</v>
      </c>
      <c r="Q22" s="79"/>
    </row>
    <row r="23" spans="1:17">
      <c r="A23" s="4">
        <f t="shared" si="1"/>
        <v>12</v>
      </c>
      <c r="B23" s="144">
        <v>9230</v>
      </c>
      <c r="C23" s="6" t="s">
        <v>324</v>
      </c>
      <c r="D23" s="214">
        <v>45897.87</v>
      </c>
      <c r="E23" s="214">
        <v>39094.75</v>
      </c>
      <c r="F23" s="214">
        <v>61427.96</v>
      </c>
      <c r="G23" s="214">
        <v>49206.939999999995</v>
      </c>
      <c r="H23" s="214">
        <v>408.03</v>
      </c>
      <c r="I23" s="214">
        <v>68225.12000000001</v>
      </c>
      <c r="J23" s="116">
        <v>23493.647262455484</v>
      </c>
      <c r="K23" s="116">
        <v>18405.812904484945</v>
      </c>
      <c r="L23" s="116">
        <v>17979.433014054684</v>
      </c>
      <c r="M23" s="116">
        <v>27198.700198579809</v>
      </c>
      <c r="N23" s="116">
        <v>17905.950000505873</v>
      </c>
      <c r="O23" s="116">
        <v>17884.130417478467</v>
      </c>
      <c r="P23" s="6">
        <f t="shared" si="0"/>
        <v>387128.34379755921</v>
      </c>
      <c r="Q23" s="6"/>
    </row>
    <row r="24" spans="1:17">
      <c r="A24" s="4">
        <f t="shared" si="1"/>
        <v>13</v>
      </c>
      <c r="B24" s="144">
        <v>9240</v>
      </c>
      <c r="C24" s="6" t="s">
        <v>325</v>
      </c>
      <c r="D24" s="214">
        <v>10471.56</v>
      </c>
      <c r="E24" s="214">
        <v>10471.56</v>
      </c>
      <c r="F24" s="214">
        <v>10471.56</v>
      </c>
      <c r="G24" s="214">
        <v>10471.56</v>
      </c>
      <c r="H24" s="214">
        <v>10471.56</v>
      </c>
      <c r="I24" s="214">
        <v>10471.56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6">
        <f t="shared" si="0"/>
        <v>62829.359999999993</v>
      </c>
      <c r="Q24" s="6"/>
    </row>
    <row r="25" spans="1:17">
      <c r="A25" s="4">
        <f t="shared" si="1"/>
        <v>14</v>
      </c>
      <c r="B25" s="144">
        <v>9250</v>
      </c>
      <c r="C25" t="s">
        <v>326</v>
      </c>
      <c r="D25" s="214">
        <v>0</v>
      </c>
      <c r="E25" s="214">
        <v>263.10000000000002</v>
      </c>
      <c r="F25" s="214">
        <v>0</v>
      </c>
      <c r="G25" s="214">
        <v>0</v>
      </c>
      <c r="H25" s="214">
        <v>0</v>
      </c>
      <c r="I25" s="214">
        <v>0</v>
      </c>
      <c r="J25" s="116">
        <v>22.285494374872915</v>
      </c>
      <c r="K25" s="116">
        <v>16.128740866532681</v>
      </c>
      <c r="L25" s="116">
        <v>16.128740866532681</v>
      </c>
      <c r="M25" s="116">
        <v>24.99427988755988</v>
      </c>
      <c r="N25" s="116">
        <v>16.128740866532681</v>
      </c>
      <c r="O25" s="116">
        <v>16.128740866532681</v>
      </c>
      <c r="P25" s="6">
        <f t="shared" si="0"/>
        <v>374.89473772856348</v>
      </c>
      <c r="Q25" s="6"/>
    </row>
    <row r="26" spans="1:17">
      <c r="A26" s="4">
        <f t="shared" si="1"/>
        <v>15</v>
      </c>
      <c r="B26" s="144">
        <v>9260</v>
      </c>
      <c r="C26" s="6" t="s">
        <v>327</v>
      </c>
      <c r="D26" s="214">
        <v>1082828.1199999996</v>
      </c>
      <c r="E26" s="214">
        <v>1057005.1400000001</v>
      </c>
      <c r="F26" s="214">
        <v>1090778.6600000001</v>
      </c>
      <c r="G26" s="214">
        <v>1030066.7700000003</v>
      </c>
      <c r="H26" s="214">
        <v>1252829.4999999998</v>
      </c>
      <c r="I26" s="214">
        <v>951298.00999999989</v>
      </c>
      <c r="J26" s="116">
        <v>1049930.7690482407</v>
      </c>
      <c r="K26" s="116">
        <v>1013616.7286260744</v>
      </c>
      <c r="L26" s="116">
        <v>984005.84349530435</v>
      </c>
      <c r="M26" s="116">
        <v>1053202.1013875802</v>
      </c>
      <c r="N26" s="116">
        <v>962214.24396622425</v>
      </c>
      <c r="O26" s="116">
        <v>959194.79637543834</v>
      </c>
      <c r="P26" s="6">
        <f>SUM(D26:O26)</f>
        <v>12486970.682898862</v>
      </c>
      <c r="Q26" s="6"/>
    </row>
    <row r="27" spans="1:17">
      <c r="A27" s="4">
        <f t="shared" si="1"/>
        <v>16</v>
      </c>
      <c r="B27" s="144">
        <v>9310</v>
      </c>
      <c r="C27" s="6" t="s">
        <v>209</v>
      </c>
      <c r="D27" s="214">
        <v>151119.92000000001</v>
      </c>
      <c r="E27" s="214">
        <v>150819.15</v>
      </c>
      <c r="F27" s="214">
        <v>150915.37999999998</v>
      </c>
      <c r="G27" s="214">
        <v>150928.35999999999</v>
      </c>
      <c r="H27" s="214">
        <v>150935.1</v>
      </c>
      <c r="I27" s="214">
        <v>151108.78</v>
      </c>
      <c r="J27" s="116">
        <v>136663.21028857684</v>
      </c>
      <c r="K27" s="116">
        <v>138182.07091391427</v>
      </c>
      <c r="L27" s="116">
        <v>151047.2027226068</v>
      </c>
      <c r="M27" s="116">
        <v>137376.75824928418</v>
      </c>
      <c r="N27" s="116">
        <v>133211.70401175355</v>
      </c>
      <c r="O27" s="116">
        <v>133313.26431375064</v>
      </c>
      <c r="P27" s="6">
        <f>SUM(D27:O27)</f>
        <v>1735620.9004998861</v>
      </c>
      <c r="Q27" s="6"/>
    </row>
    <row r="28" spans="1:17">
      <c r="A28" s="4">
        <f t="shared" si="1"/>
        <v>17</v>
      </c>
      <c r="B28" s="144">
        <v>9320</v>
      </c>
      <c r="C28" s="6" t="s">
        <v>331</v>
      </c>
      <c r="D28" s="214">
        <v>3000</v>
      </c>
      <c r="E28" s="214">
        <v>3318.9800000000005</v>
      </c>
      <c r="F28" s="214">
        <v>8399.9599999999991</v>
      </c>
      <c r="G28" s="214">
        <v>144.44999999999999</v>
      </c>
      <c r="H28" s="214">
        <v>4235.5200000000004</v>
      </c>
      <c r="I28" s="214">
        <v>1235.8900000000001</v>
      </c>
      <c r="J28" s="116">
        <v>11.381380207247659</v>
      </c>
      <c r="K28" s="116">
        <v>59.470274956789574</v>
      </c>
      <c r="L28" s="116">
        <v>13.432079343688679</v>
      </c>
      <c r="M28" s="116">
        <v>52.395362936068054</v>
      </c>
      <c r="N28" s="116">
        <v>55.984086424839838</v>
      </c>
      <c r="O28" s="116">
        <v>10.356030639027152</v>
      </c>
      <c r="P28" s="6">
        <f>SUM(D28:O28)</f>
        <v>20537.819214507661</v>
      </c>
      <c r="Q28" s="6"/>
    </row>
    <row r="29" spans="1:17">
      <c r="A29" s="4">
        <f t="shared" si="1"/>
        <v>18</v>
      </c>
      <c r="B29" s="6"/>
      <c r="C29" s="242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6"/>
      <c r="Q29" s="6"/>
    </row>
    <row r="30" spans="1:17" ht="15.75" thickBot="1">
      <c r="A30" s="4">
        <f t="shared" si="1"/>
        <v>19</v>
      </c>
      <c r="B30" s="6" t="s">
        <v>332</v>
      </c>
      <c r="C30" s="242"/>
      <c r="D30" s="250">
        <f>SUM(D12:D28)</f>
        <v>1.9999998708954081E-2</v>
      </c>
      <c r="E30" s="250">
        <f t="shared" ref="E30:P30" si="3">SUM(E12:E29)</f>
        <v>3.0000000367181201E-2</v>
      </c>
      <c r="F30" s="250">
        <f t="shared" si="3"/>
        <v>1.0000001297157723E-2</v>
      </c>
      <c r="G30" s="250">
        <f t="shared" si="3"/>
        <v>498.32000000092665</v>
      </c>
      <c r="H30" s="250">
        <f t="shared" si="3"/>
        <v>-498.39000000070155</v>
      </c>
      <c r="I30" s="250">
        <f t="shared" si="3"/>
        <v>-3.9999996587766873E-2</v>
      </c>
      <c r="J30" s="250">
        <f t="shared" si="3"/>
        <v>4.0056136185739888E-10</v>
      </c>
      <c r="K30" s="250">
        <f t="shared" si="3"/>
        <v>3.8743763752790983E-10</v>
      </c>
      <c r="L30" s="250">
        <f t="shared" si="3"/>
        <v>6.8689942622768285E-11</v>
      </c>
      <c r="M30" s="250">
        <f t="shared" si="3"/>
        <v>4.9553250391909387E-11</v>
      </c>
      <c r="N30" s="250">
        <f t="shared" si="3"/>
        <v>-4.3663561655193917E-10</v>
      </c>
      <c r="O30" s="250">
        <f t="shared" si="3"/>
        <v>2.0270185530080198E-10</v>
      </c>
      <c r="P30" s="230">
        <f t="shared" si="3"/>
        <v>-4.9999984024907462E-2</v>
      </c>
      <c r="Q30" s="232"/>
    </row>
    <row r="31" spans="1:17" ht="15.75" thickTop="1">
      <c r="A31" s="4">
        <f t="shared" si="1"/>
        <v>20</v>
      </c>
      <c r="B31" s="6"/>
      <c r="C31" s="24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</row>
    <row r="32" spans="1:17">
      <c r="A32" s="4">
        <f t="shared" si="1"/>
        <v>21</v>
      </c>
      <c r="B32" s="211">
        <f>B22</f>
        <v>9220</v>
      </c>
      <c r="C32" s="251" t="str">
        <f>C22</f>
        <v>A&amp;G-Administrative expense transferred-Credit</v>
      </c>
      <c r="D32" s="243">
        <f>D22</f>
        <v>-5012946.4200000009</v>
      </c>
      <c r="E32" s="243">
        <f t="shared" ref="E32:I32" si="4">E22</f>
        <v>-5016265.3699999992</v>
      </c>
      <c r="F32" s="243">
        <f t="shared" si="4"/>
        <v>-4967862.3299999991</v>
      </c>
      <c r="G32" s="243">
        <f t="shared" si="4"/>
        <v>-4893450.7599999988</v>
      </c>
      <c r="H32" s="243">
        <f t="shared" si="4"/>
        <v>-5310774.2</v>
      </c>
      <c r="I32" s="243">
        <f t="shared" si="4"/>
        <v>-4726287.3599999975</v>
      </c>
      <c r="J32" s="243">
        <f t="shared" ref="J32:K32" si="5">-(J30-J22)</f>
        <v>-4257402.8</v>
      </c>
      <c r="K32" s="243">
        <f t="shared" si="5"/>
        <v>-4290022.42</v>
      </c>
      <c r="L32" s="252">
        <f>L22</f>
        <v>-4100092.34</v>
      </c>
      <c r="M32" s="252">
        <f>M22</f>
        <v>-4469999</v>
      </c>
      <c r="N32" s="252">
        <f>N22</f>
        <v>-4111676.4000000004</v>
      </c>
      <c r="O32" s="252">
        <f>O22</f>
        <v>-4042121.9699999997</v>
      </c>
      <c r="P32" s="6">
        <f t="shared" ref="P32" si="6">SUM(D32:O32)</f>
        <v>-55198901.369999982</v>
      </c>
      <c r="Q32" s="6"/>
    </row>
    <row r="33" spans="1:17">
      <c r="A33" s="4">
        <f t="shared" si="1"/>
        <v>22</v>
      </c>
      <c r="B33" s="5"/>
      <c r="C33" s="244" t="s">
        <v>341</v>
      </c>
      <c r="D33" s="245">
        <f>D34/D32</f>
        <v>5.729041684032201E-2</v>
      </c>
      <c r="E33" s="245">
        <f t="shared" ref="E33:I33" si="7">E34/E32</f>
        <v>5.7295505480803553E-2</v>
      </c>
      <c r="F33" s="245">
        <f t="shared" si="7"/>
        <v>5.7427173107673465E-2</v>
      </c>
      <c r="G33" s="245">
        <f t="shared" si="7"/>
        <v>5.7290170832331025E-2</v>
      </c>
      <c r="H33" s="245">
        <f t="shared" si="7"/>
        <v>5.7398273494662984E-2</v>
      </c>
      <c r="I33" s="245">
        <f t="shared" si="7"/>
        <v>5.7270584579943981E-2</v>
      </c>
      <c r="J33" s="245">
        <v>5.712253040952902E-2</v>
      </c>
      <c r="K33" s="245">
        <v>5.712253040952902E-2</v>
      </c>
      <c r="L33" s="245">
        <v>5.712253040952902E-2</v>
      </c>
      <c r="M33" s="245">
        <v>5.712253040952902E-2</v>
      </c>
      <c r="N33" s="245">
        <v>5.712253040952902E-2</v>
      </c>
      <c r="O33" s="245">
        <v>5.712253040952902E-2</v>
      </c>
      <c r="P33" s="245">
        <f t="shared" ref="P33" si="8">P34/P32</f>
        <v>5.7234982167503064E-2</v>
      </c>
      <c r="Q33" s="6"/>
    </row>
    <row r="34" spans="1:17">
      <c r="A34" s="4">
        <f t="shared" si="1"/>
        <v>23</v>
      </c>
      <c r="B34" s="5"/>
      <c r="C34" s="5" t="s">
        <v>342</v>
      </c>
      <c r="D34" s="5">
        <v>-287193.78999999998</v>
      </c>
      <c r="E34" s="5">
        <v>-287409.46000000002</v>
      </c>
      <c r="F34" s="5">
        <v>-285290.28999999998</v>
      </c>
      <c r="G34" s="5">
        <v>-280346.63</v>
      </c>
      <c r="H34" s="5">
        <v>-304829.27</v>
      </c>
      <c r="I34" s="5">
        <v>-270677.24</v>
      </c>
      <c r="J34" s="5">
        <f t="shared" ref="J34:O34" si="9">J32*J33</f>
        <v>-243193.62090861399</v>
      </c>
      <c r="K34" s="5">
        <f t="shared" si="9"/>
        <v>-245056.93614401127</v>
      </c>
      <c r="L34" s="5">
        <f t="shared" si="9"/>
        <v>-234207.64937352698</v>
      </c>
      <c r="M34" s="5">
        <f t="shared" si="9"/>
        <v>-255337.65380806432</v>
      </c>
      <c r="N34" s="5">
        <f t="shared" si="9"/>
        <v>-234869.36019314281</v>
      </c>
      <c r="O34" s="5">
        <f t="shared" si="9"/>
        <v>-230896.23515035035</v>
      </c>
      <c r="P34" s="6">
        <f>SUM(D34:O34)</f>
        <v>-3159308.1355777094</v>
      </c>
      <c r="Q34" s="6"/>
    </row>
    <row r="35" spans="1:17">
      <c r="A35" s="4">
        <f t="shared" si="1"/>
        <v>24</v>
      </c>
      <c r="B35" s="6"/>
      <c r="C35" s="242"/>
      <c r="D35" s="6"/>
      <c r="E35" s="6"/>
      <c r="F35" s="6"/>
      <c r="G35" s="6"/>
      <c r="H35" s="6"/>
      <c r="I35" s="5"/>
      <c r="J35" s="5"/>
      <c r="K35" s="6"/>
      <c r="L35" s="6"/>
      <c r="M35" s="6"/>
      <c r="N35" s="6"/>
      <c r="O35" s="190"/>
      <c r="P35" s="253"/>
      <c r="Q35" s="6"/>
    </row>
    <row r="36" spans="1:17">
      <c r="A36" s="6"/>
      <c r="B36" s="6"/>
      <c r="C36" s="242"/>
      <c r="D36" s="6"/>
      <c r="E36" s="6"/>
      <c r="F36" s="6"/>
      <c r="G36" s="6"/>
      <c r="H36" s="6"/>
      <c r="I36" s="5"/>
      <c r="J36" s="5"/>
      <c r="K36" s="6"/>
      <c r="L36" s="6"/>
      <c r="M36" s="6"/>
      <c r="N36" s="6"/>
      <c r="O36" s="190"/>
      <c r="P36" s="99"/>
      <c r="Q36" s="6"/>
    </row>
    <row r="37" spans="1:17">
      <c r="A37" s="6"/>
      <c r="B37" s="6" t="s">
        <v>343</v>
      </c>
      <c r="C37" s="242"/>
      <c r="D37" s="232"/>
      <c r="E37" s="232"/>
      <c r="F37" s="232"/>
      <c r="G37" s="232"/>
      <c r="H37" s="232"/>
      <c r="I37" s="254"/>
      <c r="J37" s="5"/>
      <c r="K37" s="6"/>
      <c r="L37" s="6"/>
      <c r="M37" s="6"/>
      <c r="N37" s="6"/>
      <c r="O37" s="6"/>
      <c r="P37" s="232"/>
      <c r="Q37" s="6"/>
    </row>
    <row r="38" spans="1:17">
      <c r="A38" s="6"/>
      <c r="B38" s="6"/>
      <c r="C38" s="6"/>
      <c r="D38" s="99"/>
      <c r="E38" s="99"/>
      <c r="F38" s="99"/>
      <c r="G38" s="99"/>
      <c r="H38" s="99"/>
      <c r="I38" s="190"/>
      <c r="J38" s="5"/>
      <c r="K38" s="99"/>
      <c r="L38" s="99"/>
      <c r="M38" s="99"/>
      <c r="N38" s="99"/>
      <c r="O38" s="190"/>
      <c r="P38" s="99"/>
      <c r="Q38" s="99"/>
    </row>
    <row r="39" spans="1:17">
      <c r="A39" s="6"/>
      <c r="B39" s="6"/>
      <c r="C39" s="6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79"/>
      <c r="Q39" s="190"/>
    </row>
    <row r="40" spans="1:17">
      <c r="A40" s="6"/>
      <c r="B40" s="6" t="s">
        <v>335</v>
      </c>
      <c r="C40" s="6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99"/>
      <c r="Q40" s="99"/>
    </row>
    <row r="41" spans="1:17">
      <c r="A41" s="6"/>
      <c r="B41" s="6" t="s">
        <v>346</v>
      </c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68"/>
      <c r="Q41" s="6"/>
    </row>
    <row r="42" spans="1:17">
      <c r="A42" s="6"/>
      <c r="B42" s="6" t="s">
        <v>347</v>
      </c>
      <c r="C42" s="6"/>
      <c r="D42" s="23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</row>
    <row r="43" spans="1:17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0"/>
      <c r="P43" s="99"/>
      <c r="Q43" s="6"/>
    </row>
    <row r="44" spans="1:17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0"/>
      <c r="P44" s="99"/>
      <c r="Q44" s="6"/>
    </row>
    <row r="45" spans="1:17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0"/>
      <c r="P45" s="99"/>
      <c r="Q45" s="6"/>
    </row>
    <row r="46" spans="1:17">
      <c r="A46" s="6"/>
      <c r="B46" s="6"/>
      <c r="C46" s="7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6"/>
    </row>
    <row r="47" spans="1:17">
      <c r="A47" s="6"/>
      <c r="B47" s="6"/>
      <c r="C47" s="6"/>
      <c r="D47" s="6"/>
      <c r="E47" s="6"/>
      <c r="F47" s="6"/>
      <c r="G47" s="6"/>
      <c r="H47" s="6"/>
      <c r="I47" s="5"/>
      <c r="J47" s="5"/>
      <c r="K47" s="5"/>
      <c r="L47" s="6"/>
      <c r="M47" s="6"/>
      <c r="N47" s="6"/>
      <c r="O47" s="5"/>
      <c r="P47" s="6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5"/>
      <c r="J48" s="5"/>
      <c r="K48" s="5"/>
      <c r="L48" s="6"/>
      <c r="M48" s="6"/>
      <c r="N48" s="6"/>
      <c r="O48" s="5"/>
      <c r="P48" s="6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"/>
      <c r="P49" s="6"/>
      <c r="Q49" s="6"/>
    </row>
    <row r="50" spans="1:17">
      <c r="A50" s="6"/>
    </row>
    <row r="52" spans="1:17">
      <c r="C52" s="7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6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view="pageBreakPreview" zoomScale="60" zoomScaleNormal="70" workbookViewId="0">
      <pane xSplit="3" ySplit="11" topLeftCell="D12" activePane="bottomRight" state="frozen"/>
      <selection activeCell="C19" sqref="C19"/>
      <selection pane="topRight" activeCell="C19" sqref="C19"/>
      <selection pane="bottomLeft" activeCell="C19" sqref="C19"/>
      <selection pane="bottomRight" activeCell="D12" sqref="D12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</cols>
  <sheetData>
    <row r="1" spans="1:18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"/>
      <c r="R1" s="6"/>
    </row>
    <row r="2" spans="1:18">
      <c r="A2" s="310" t="s">
        <v>393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"/>
      <c r="R2" s="6"/>
    </row>
    <row r="3" spans="1:18" ht="15.75">
      <c r="A3" s="310" t="s">
        <v>348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"/>
      <c r="R3" s="6"/>
    </row>
    <row r="4" spans="1:18">
      <c r="A4" s="310" t="s">
        <v>394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6"/>
      <c r="R4" s="6"/>
    </row>
    <row r="5" spans="1:18">
      <c r="A5" s="6"/>
      <c r="B5" s="158"/>
      <c r="C5" s="158"/>
      <c r="D5" s="158"/>
      <c r="E5" s="158"/>
      <c r="F5" s="158"/>
      <c r="G5" s="236"/>
      <c r="H5" s="158"/>
      <c r="I5" s="158"/>
      <c r="J5" s="158"/>
      <c r="K5" s="158"/>
      <c r="L5" s="158"/>
      <c r="M5" s="158"/>
      <c r="N5" s="158"/>
      <c r="O5" s="158"/>
      <c r="P5" s="6"/>
      <c r="Q5" s="6"/>
      <c r="R5" s="6"/>
    </row>
    <row r="6" spans="1:18" ht="15.75">
      <c r="A6" s="11" t="str">
        <f>'C.2.2 B 09'!A6</f>
        <v>Data:___X____Base Period________Forecasted Period</v>
      </c>
      <c r="B6" s="194"/>
      <c r="C6" s="11"/>
      <c r="D6" s="6"/>
      <c r="E6" s="6"/>
      <c r="F6" s="237"/>
      <c r="G6" s="6"/>
      <c r="H6" s="6"/>
      <c r="I6" s="6"/>
      <c r="J6" s="6"/>
      <c r="K6" s="6"/>
      <c r="L6" s="6"/>
      <c r="M6" s="6"/>
      <c r="N6" s="6"/>
      <c r="O6" s="6"/>
      <c r="P6" s="195" t="s">
        <v>235</v>
      </c>
      <c r="Q6" s="6"/>
      <c r="R6" s="6"/>
    </row>
    <row r="7" spans="1:18">
      <c r="A7" s="11" t="str">
        <f>'C.2.2 B 09'!A7</f>
        <v>Type of Filing:___X____Original________Updated ________Revised</v>
      </c>
      <c r="B7" s="194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96" t="s">
        <v>236</v>
      </c>
      <c r="Q7" s="6"/>
      <c r="R7" s="6"/>
    </row>
    <row r="8" spans="1:18">
      <c r="A8" s="59" t="str">
        <f>'C.2.2 B 09'!A8</f>
        <v>Workpaper Reference No(s).____________________</v>
      </c>
      <c r="B8" s="197"/>
      <c r="C8" s="14"/>
      <c r="D8" s="15"/>
      <c r="E8" s="15"/>
      <c r="F8" s="15"/>
      <c r="G8" s="15"/>
      <c r="H8" s="15"/>
      <c r="I8" s="15"/>
      <c r="J8" s="15"/>
      <c r="K8" s="15"/>
      <c r="L8" s="15"/>
      <c r="M8" s="3"/>
      <c r="N8" s="197"/>
      <c r="O8" s="197"/>
      <c r="P8" s="198" t="str">
        <f>C.1!J9</f>
        <v>Witness: Waller, Smith</v>
      </c>
      <c r="Q8" s="6"/>
      <c r="R8" s="6"/>
    </row>
    <row r="9" spans="1:18">
      <c r="A9" s="199" t="s">
        <v>21</v>
      </c>
      <c r="B9" s="200" t="s">
        <v>237</v>
      </c>
      <c r="C9" s="201"/>
      <c r="D9" s="63" t="str">
        <f>'C.2.2 B 09'!D9</f>
        <v>actual</v>
      </c>
      <c r="E9" s="63" t="str">
        <f>'C.2.2 B 09'!F9</f>
        <v>actual</v>
      </c>
      <c r="F9" s="63" t="str">
        <f>'C.2.2 B 09'!F9</f>
        <v>actual</v>
      </c>
      <c r="G9" s="63" t="str">
        <f>'C.2.2 B 09'!G9</f>
        <v>actual</v>
      </c>
      <c r="H9" s="63" t="str">
        <f>'C.2.2 B 09'!H9</f>
        <v>actual</v>
      </c>
      <c r="I9" s="63" t="str">
        <f>'C.2.2 B 09'!I9</f>
        <v>actual</v>
      </c>
      <c r="J9" s="63" t="str">
        <f>'C.2.2 B 09'!J9</f>
        <v>Forecasted</v>
      </c>
      <c r="K9" s="63" t="str">
        <f>'C.2.2 B 09'!K9</f>
        <v>Budgeted</v>
      </c>
      <c r="L9" s="63" t="str">
        <f>'C.2.2 B 09'!L9</f>
        <v>Budgeted</v>
      </c>
      <c r="M9" s="63" t="str">
        <f>'C.2.2 B 09'!M9</f>
        <v>Budgeted</v>
      </c>
      <c r="N9" s="63" t="str">
        <f>'C.2.2 B 09'!N9</f>
        <v>Budgeted</v>
      </c>
      <c r="O9" s="63" t="str">
        <f>'C.2.2 B 09'!O9</f>
        <v>Budgeted</v>
      </c>
      <c r="P9" s="239"/>
      <c r="Q9" s="4"/>
      <c r="R9" s="4"/>
    </row>
    <row r="10" spans="1:18">
      <c r="A10" s="205" t="s">
        <v>24</v>
      </c>
      <c r="B10" s="1" t="s">
        <v>24</v>
      </c>
      <c r="C10" s="206" t="s">
        <v>240</v>
      </c>
      <c r="D10" s="240">
        <f>'C.2.2 B 09'!D10</f>
        <v>42094</v>
      </c>
      <c r="E10" s="240">
        <f>'C.2.2 B 09'!E10</f>
        <v>42095</v>
      </c>
      <c r="F10" s="240">
        <f>'C.2.2 B 09'!F10</f>
        <v>42155</v>
      </c>
      <c r="G10" s="240">
        <f>'C.2.2 B 09'!G10</f>
        <v>42185</v>
      </c>
      <c r="H10" s="240">
        <f>'C.2.2 B 09'!H10</f>
        <v>42216</v>
      </c>
      <c r="I10" s="240">
        <f>'C.2.2 B 09'!I10</f>
        <v>42247</v>
      </c>
      <c r="J10" s="240">
        <f>'C.2.2 B 09'!J10</f>
        <v>42277</v>
      </c>
      <c r="K10" s="240">
        <f>'C.2.2 B 09'!K10</f>
        <v>42308</v>
      </c>
      <c r="L10" s="240">
        <f>'C.2.2 B 09'!L10</f>
        <v>42338</v>
      </c>
      <c r="M10" s="240">
        <f>'C.2.2 B 09'!M10</f>
        <v>42369</v>
      </c>
      <c r="N10" s="240">
        <f>'C.2.2 B 09'!N10</f>
        <v>42400</v>
      </c>
      <c r="O10" s="240">
        <f>'C.2.2 B 09'!O10</f>
        <v>42429</v>
      </c>
      <c r="P10" s="240" t="str">
        <f>'C.2.2 B 09'!P10</f>
        <v>Total</v>
      </c>
      <c r="Q10" s="210"/>
      <c r="R10" s="4"/>
    </row>
    <row r="11" spans="1:18">
      <c r="A11" s="6"/>
      <c r="B11" s="6"/>
      <c r="C11" s="6"/>
      <c r="D11" s="17" t="s">
        <v>242</v>
      </c>
      <c r="E11" s="17" t="s">
        <v>242</v>
      </c>
      <c r="F11" s="17" t="s">
        <v>242</v>
      </c>
      <c r="G11" s="17" t="s">
        <v>242</v>
      </c>
      <c r="H11" s="17" t="s">
        <v>242</v>
      </c>
      <c r="I11" s="17" t="s">
        <v>242</v>
      </c>
      <c r="J11" s="17" t="s">
        <v>242</v>
      </c>
      <c r="K11" s="17" t="s">
        <v>242</v>
      </c>
      <c r="L11" s="17" t="s">
        <v>242</v>
      </c>
      <c r="M11" s="17" t="s">
        <v>242</v>
      </c>
      <c r="N11" s="17" t="s">
        <v>242</v>
      </c>
      <c r="O11" s="68" t="s">
        <v>242</v>
      </c>
      <c r="P11" s="17" t="s">
        <v>242</v>
      </c>
      <c r="Q11" s="17"/>
      <c r="R11" s="6"/>
    </row>
    <row r="12" spans="1:18">
      <c r="A12" s="6"/>
      <c r="B12" s="211" t="s">
        <v>218</v>
      </c>
      <c r="C12" s="212" t="s">
        <v>243</v>
      </c>
      <c r="D12" s="214">
        <v>2841005.8499999996</v>
      </c>
      <c r="E12" s="214">
        <v>3329272.2600000002</v>
      </c>
      <c r="F12" s="214">
        <v>89772.510000000009</v>
      </c>
      <c r="G12" s="214">
        <v>-280720.73999999929</v>
      </c>
      <c r="H12" s="214">
        <v>-545820.43999999994</v>
      </c>
      <c r="I12" s="214">
        <v>612234.46</v>
      </c>
      <c r="J12" s="214"/>
      <c r="K12" s="116"/>
      <c r="L12" s="116"/>
      <c r="M12" s="116"/>
      <c r="N12" s="116"/>
      <c r="O12" s="116"/>
      <c r="P12" s="6">
        <f t="shared" ref="P12:P15" si="0">SUM(D12:O12)</f>
        <v>6045743.8999999994</v>
      </c>
      <c r="Q12" s="17"/>
      <c r="R12" s="6"/>
    </row>
    <row r="13" spans="1:18">
      <c r="A13" s="6"/>
      <c r="B13" s="6"/>
      <c r="C13" s="6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">
        <f t="shared" si="0"/>
        <v>0</v>
      </c>
      <c r="Q13" s="17"/>
      <c r="R13" s="6"/>
    </row>
    <row r="14" spans="1:18">
      <c r="A14" s="4">
        <v>1</v>
      </c>
      <c r="B14" s="144">
        <v>4030</v>
      </c>
      <c r="C14" s="6" t="s">
        <v>70</v>
      </c>
      <c r="D14" s="214">
        <v>-3.637978807091713E-12</v>
      </c>
      <c r="E14" s="214">
        <v>-7.9580786405131221E-13</v>
      </c>
      <c r="F14" s="214">
        <v>1.4495071809506044E-12</v>
      </c>
      <c r="G14" s="214">
        <v>-1.0231815394945443E-12</v>
      </c>
      <c r="H14" s="214">
        <v>1.7053025658242404E-12</v>
      </c>
      <c r="I14" s="214">
        <v>2.2026824808563106E-13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6">
        <f t="shared" si="0"/>
        <v>-2.0818902157770935E-12</v>
      </c>
      <c r="Q14" s="79"/>
      <c r="R14" s="6"/>
    </row>
    <row r="15" spans="1:18">
      <c r="A15" s="4">
        <f>A14+1</f>
        <v>2</v>
      </c>
      <c r="B15" s="144" t="s">
        <v>349</v>
      </c>
      <c r="C15" s="6" t="s">
        <v>244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116"/>
      <c r="K15" s="116"/>
      <c r="L15" s="116"/>
      <c r="M15" s="116"/>
      <c r="N15" s="116"/>
      <c r="O15" s="116"/>
      <c r="P15" s="6">
        <f t="shared" si="0"/>
        <v>0</v>
      </c>
      <c r="Q15" s="79"/>
      <c r="R15" s="6"/>
    </row>
    <row r="16" spans="1:18">
      <c r="A16" s="4">
        <f t="shared" ref="A16:A54" si="1">A15+1</f>
        <v>3</v>
      </c>
      <c r="B16" s="144">
        <v>4081</v>
      </c>
      <c r="C16" s="6" t="s">
        <v>245</v>
      </c>
      <c r="D16" s="214">
        <v>1.4551915228366852E-11</v>
      </c>
      <c r="E16" s="214">
        <v>2.000000000800356E-2</v>
      </c>
      <c r="F16" s="214">
        <v>9.9999999990814104E-3</v>
      </c>
      <c r="G16" s="214">
        <v>-9.9999999972624209E-3</v>
      </c>
      <c r="H16" s="214">
        <v>1.9099388737231493E-11</v>
      </c>
      <c r="I16" s="214">
        <v>-1.9999999989522621E-2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6">
        <f t="shared" ref="P16:P48" si="2">SUM(D16:O16)</f>
        <v>5.3951232370508251E-11</v>
      </c>
      <c r="Q16" s="6"/>
      <c r="R16" s="6"/>
    </row>
    <row r="17" spans="1:18">
      <c r="A17" s="4">
        <f t="shared" si="1"/>
        <v>4</v>
      </c>
      <c r="B17" s="144">
        <v>8170</v>
      </c>
      <c r="C17" s="6" t="s">
        <v>274</v>
      </c>
      <c r="D17" s="214">
        <v>41.25</v>
      </c>
      <c r="E17" s="214">
        <v>40.92</v>
      </c>
      <c r="F17" s="214">
        <v>38.36</v>
      </c>
      <c r="G17" s="214">
        <v>37.630000000000003</v>
      </c>
      <c r="H17" s="214">
        <v>41.48</v>
      </c>
      <c r="I17" s="214">
        <v>42.81</v>
      </c>
      <c r="J17" s="116">
        <v>38.982137567098867</v>
      </c>
      <c r="K17" s="116">
        <v>40.632852957823019</v>
      </c>
      <c r="L17" s="116">
        <v>41.089256801354722</v>
      </c>
      <c r="M17" s="116">
        <v>44.444441813263438</v>
      </c>
      <c r="N17" s="116">
        <v>47.069106559098891</v>
      </c>
      <c r="O17" s="116">
        <v>48.143642935461813</v>
      </c>
      <c r="P17" s="6">
        <f t="shared" si="2"/>
        <v>502.81143863410074</v>
      </c>
      <c r="Q17" s="6"/>
      <c r="R17" s="6"/>
    </row>
    <row r="18" spans="1:18">
      <c r="A18" s="4">
        <f t="shared" si="1"/>
        <v>5</v>
      </c>
      <c r="B18" s="144">
        <v>8180</v>
      </c>
      <c r="C18" s="6" t="s">
        <v>275</v>
      </c>
      <c r="D18" s="214">
        <v>43.100000000000023</v>
      </c>
      <c r="E18" s="214">
        <v>42.759999999999991</v>
      </c>
      <c r="F18" s="214">
        <v>40.080000000000013</v>
      </c>
      <c r="G18" s="214">
        <v>39.319999999999965</v>
      </c>
      <c r="H18" s="214">
        <v>43.349999999999994</v>
      </c>
      <c r="I18" s="214">
        <v>30.579999999999984</v>
      </c>
      <c r="J18" s="116">
        <v>38.457980963804403</v>
      </c>
      <c r="K18" s="116">
        <v>40.086500717598199</v>
      </c>
      <c r="L18" s="116">
        <v>40.53676772248312</v>
      </c>
      <c r="M18" s="116">
        <v>43.846838677312746</v>
      </c>
      <c r="N18" s="116">
        <v>46.43621199369295</v>
      </c>
      <c r="O18" s="116">
        <v>47.496300077265801</v>
      </c>
      <c r="P18" s="6">
        <f t="shared" si="2"/>
        <v>496.05060015215719</v>
      </c>
      <c r="Q18" s="6"/>
      <c r="R18" s="6"/>
    </row>
    <row r="19" spans="1:18">
      <c r="A19" s="4">
        <f t="shared" si="1"/>
        <v>6</v>
      </c>
      <c r="B19" s="144">
        <v>8190</v>
      </c>
      <c r="C19" s="6" t="s">
        <v>276</v>
      </c>
      <c r="D19" s="214">
        <v>880.41</v>
      </c>
      <c r="E19" s="214">
        <v>553.48</v>
      </c>
      <c r="F19" s="214">
        <v>1520.59</v>
      </c>
      <c r="G19" s="214">
        <v>4.5</v>
      </c>
      <c r="H19" s="214">
        <v>0</v>
      </c>
      <c r="I19" s="214">
        <v>5.48</v>
      </c>
      <c r="J19" s="116">
        <v>476.63843073690202</v>
      </c>
      <c r="K19" s="116">
        <v>496.82189020147672</v>
      </c>
      <c r="L19" s="116">
        <v>502.40238489314919</v>
      </c>
      <c r="M19" s="116">
        <v>543.42656208598441</v>
      </c>
      <c r="N19" s="116">
        <v>575.51859612368037</v>
      </c>
      <c r="O19" s="116">
        <v>588.65705810047075</v>
      </c>
      <c r="P19" s="6">
        <f t="shared" si="2"/>
        <v>6147.924922141663</v>
      </c>
      <c r="Q19" s="6"/>
      <c r="R19" s="6"/>
    </row>
    <row r="20" spans="1:18">
      <c r="A20" s="4">
        <f t="shared" si="1"/>
        <v>7</v>
      </c>
      <c r="B20" s="144">
        <v>8210</v>
      </c>
      <c r="C20" s="6" t="s">
        <v>278</v>
      </c>
      <c r="D20" s="214">
        <v>778.32999999999993</v>
      </c>
      <c r="E20" s="214">
        <v>213.39999999999998</v>
      </c>
      <c r="F20" s="214">
        <v>119.17999999999999</v>
      </c>
      <c r="G20" s="214">
        <v>151.1</v>
      </c>
      <c r="H20" s="214">
        <v>139.33000000000001</v>
      </c>
      <c r="I20" s="214">
        <v>15.97</v>
      </c>
      <c r="J20" s="116">
        <v>227.88110288812078</v>
      </c>
      <c r="K20" s="116">
        <v>237.53082625552543</v>
      </c>
      <c r="L20" s="116">
        <v>240.19886391886183</v>
      </c>
      <c r="M20" s="116">
        <v>259.81254620068631</v>
      </c>
      <c r="N20" s="116">
        <v>275.15576579614947</v>
      </c>
      <c r="O20" s="116">
        <v>281.43727188640696</v>
      </c>
      <c r="P20" s="6">
        <f t="shared" si="2"/>
        <v>2939.3263769457503</v>
      </c>
      <c r="Q20" s="6"/>
      <c r="R20" s="6"/>
    </row>
    <row r="21" spans="1:18">
      <c r="A21" s="4">
        <f t="shared" si="1"/>
        <v>8</v>
      </c>
      <c r="B21" s="144">
        <v>8240</v>
      </c>
      <c r="C21" s="6" t="s">
        <v>279</v>
      </c>
      <c r="D21" s="214">
        <v>58.33</v>
      </c>
      <c r="E21" s="214">
        <v>39.68</v>
      </c>
      <c r="F21" s="214">
        <v>15.11</v>
      </c>
      <c r="G21" s="214">
        <v>4.7699999999999996</v>
      </c>
      <c r="H21" s="214">
        <v>0</v>
      </c>
      <c r="I21" s="214">
        <v>0</v>
      </c>
      <c r="J21" s="116">
        <v>18.954853362694514</v>
      </c>
      <c r="K21" s="116">
        <v>19.757504785307304</v>
      </c>
      <c r="L21" s="116">
        <v>19.979428683488173</v>
      </c>
      <c r="M21" s="116">
        <v>21.610869232277278</v>
      </c>
      <c r="N21" s="116">
        <v>22.887098256350455</v>
      </c>
      <c r="O21" s="116">
        <v>23.409585752367878</v>
      </c>
      <c r="P21" s="6">
        <f t="shared" si="2"/>
        <v>244.48934007248562</v>
      </c>
      <c r="Q21" s="6"/>
      <c r="R21" s="6"/>
    </row>
    <row r="22" spans="1:18">
      <c r="A22" s="4">
        <f t="shared" si="1"/>
        <v>9</v>
      </c>
      <c r="B22" s="144">
        <v>8250</v>
      </c>
      <c r="C22" s="6" t="s">
        <v>280</v>
      </c>
      <c r="D22" s="214">
        <v>2558.46</v>
      </c>
      <c r="E22" s="214">
        <v>3774.05</v>
      </c>
      <c r="F22" s="214">
        <v>2399.5500000000002</v>
      </c>
      <c r="G22" s="214">
        <v>1008.2900000000001</v>
      </c>
      <c r="H22" s="214">
        <v>289.12</v>
      </c>
      <c r="I22" s="214">
        <v>544.21</v>
      </c>
      <c r="J22" s="116">
        <v>1700.0810408351495</v>
      </c>
      <c r="K22" s="116">
        <v>1772.0717041166185</v>
      </c>
      <c r="L22" s="116">
        <v>1791.9762955469105</v>
      </c>
      <c r="M22" s="116">
        <v>1938.3019406560832</v>
      </c>
      <c r="N22" s="116">
        <v>2052.7682847672213</v>
      </c>
      <c r="O22" s="116">
        <v>2099.6307462727736</v>
      </c>
      <c r="P22" s="6">
        <f t="shared" si="2"/>
        <v>21928.510012194762</v>
      </c>
      <c r="Q22" s="6"/>
      <c r="R22" s="6"/>
    </row>
    <row r="23" spans="1:18">
      <c r="A23" s="4">
        <f t="shared" si="1"/>
        <v>10</v>
      </c>
      <c r="B23" s="144">
        <v>8560</v>
      </c>
      <c r="C23" s="6" t="s">
        <v>287</v>
      </c>
      <c r="D23" s="214">
        <v>615.09999999999991</v>
      </c>
      <c r="E23" s="214">
        <v>54.980000000000018</v>
      </c>
      <c r="F23" s="214">
        <v>51.529999999999973</v>
      </c>
      <c r="G23" s="214">
        <v>50.56</v>
      </c>
      <c r="H23" s="214">
        <v>55.729999999999961</v>
      </c>
      <c r="I23" s="214">
        <v>125.81</v>
      </c>
      <c r="J23" s="116">
        <v>186.6020142957847</v>
      </c>
      <c r="K23" s="116">
        <v>178.03136367119168</v>
      </c>
      <c r="L23" s="116">
        <v>193.665517757609</v>
      </c>
      <c r="M23" s="116">
        <v>193.23683912238252</v>
      </c>
      <c r="N23" s="116">
        <v>202.36081226440996</v>
      </c>
      <c r="O23" s="116">
        <v>189.55526525305982</v>
      </c>
      <c r="P23" s="6">
        <f t="shared" si="2"/>
        <v>2097.1618123644375</v>
      </c>
      <c r="Q23" s="6"/>
      <c r="R23" s="6"/>
    </row>
    <row r="24" spans="1:18">
      <c r="A24" s="4">
        <f t="shared" si="1"/>
        <v>11</v>
      </c>
      <c r="B24" s="144">
        <v>8570</v>
      </c>
      <c r="C24" s="6" t="s">
        <v>288</v>
      </c>
      <c r="D24" s="214">
        <v>82.49</v>
      </c>
      <c r="E24" s="214">
        <v>81.84</v>
      </c>
      <c r="F24" s="214">
        <v>76.709999999999994</v>
      </c>
      <c r="G24" s="214">
        <v>75.260000000000005</v>
      </c>
      <c r="H24" s="214">
        <v>82.96</v>
      </c>
      <c r="I24" s="214">
        <v>85.63</v>
      </c>
      <c r="J24" s="116">
        <v>77.96266729185632</v>
      </c>
      <c r="K24" s="116">
        <v>81.264029988528776</v>
      </c>
      <c r="L24" s="116">
        <v>82.176818850933742</v>
      </c>
      <c r="M24" s="116">
        <v>88.887050488073015</v>
      </c>
      <c r="N24" s="116">
        <v>94.136271723825345</v>
      </c>
      <c r="O24" s="116">
        <v>96.285300156634662</v>
      </c>
      <c r="P24" s="6">
        <f t="shared" si="2"/>
        <v>1005.6021384998518</v>
      </c>
      <c r="Q24" s="6"/>
      <c r="R24" s="224"/>
    </row>
    <row r="25" spans="1:18">
      <c r="A25" s="4">
        <f t="shared" si="1"/>
        <v>12</v>
      </c>
      <c r="B25" s="144">
        <v>8650</v>
      </c>
      <c r="C25" s="255" t="s">
        <v>350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15.5</v>
      </c>
      <c r="J25" s="116">
        <v>3.7732903974057486</v>
      </c>
      <c r="K25" s="116">
        <v>2.2271475890565529</v>
      </c>
      <c r="L25" s="116">
        <v>5.8506048296608864</v>
      </c>
      <c r="M25" s="116">
        <v>3.1597896998298647</v>
      </c>
      <c r="N25" s="116">
        <v>6.0495593765710938</v>
      </c>
      <c r="O25" s="116">
        <v>3.5106920959932033</v>
      </c>
      <c r="P25" s="6">
        <f t="shared" si="2"/>
        <v>40.071083988517358</v>
      </c>
      <c r="Q25" s="6"/>
      <c r="R25" s="224"/>
    </row>
    <row r="26" spans="1:18">
      <c r="A26" s="4">
        <f t="shared" si="1"/>
        <v>13</v>
      </c>
      <c r="B26" s="144">
        <v>8700</v>
      </c>
      <c r="C26" s="6" t="s">
        <v>292</v>
      </c>
      <c r="D26" s="214">
        <v>275478.31000000006</v>
      </c>
      <c r="E26" s="214">
        <v>270493.21999999997</v>
      </c>
      <c r="F26" s="214">
        <v>291757.97999999969</v>
      </c>
      <c r="G26" s="214">
        <v>254036.04999999987</v>
      </c>
      <c r="H26" s="214">
        <v>320551.94000000024</v>
      </c>
      <c r="I26" s="214">
        <v>247207.14000000016</v>
      </c>
      <c r="J26" s="116">
        <v>406080.52724166895</v>
      </c>
      <c r="K26" s="116">
        <v>346617.30142905965</v>
      </c>
      <c r="L26" s="116">
        <v>405652.82422056032</v>
      </c>
      <c r="M26" s="116">
        <v>378850.93050992128</v>
      </c>
      <c r="N26" s="116">
        <v>401050.26015284751</v>
      </c>
      <c r="O26" s="116">
        <v>405791.55289602425</v>
      </c>
      <c r="P26" s="6">
        <f t="shared" si="2"/>
        <v>4003568.036450082</v>
      </c>
      <c r="Q26" s="6"/>
      <c r="R26" s="224"/>
    </row>
    <row r="27" spans="1:18">
      <c r="A27" s="4">
        <f t="shared" si="1"/>
        <v>14</v>
      </c>
      <c r="B27" s="144">
        <v>8711</v>
      </c>
      <c r="C27" s="6" t="s">
        <v>294</v>
      </c>
      <c r="D27" s="214">
        <v>7997.85</v>
      </c>
      <c r="E27" s="214">
        <v>16844.57</v>
      </c>
      <c r="F27" s="214">
        <v>0</v>
      </c>
      <c r="G27" s="214">
        <v>156.66999999999999</v>
      </c>
      <c r="H27" s="214">
        <v>0</v>
      </c>
      <c r="I27" s="214">
        <v>4309.78</v>
      </c>
      <c r="J27" s="116">
        <v>7134.895337407318</v>
      </c>
      <c r="K27" s="116">
        <v>4211.3018811917382</v>
      </c>
      <c r="L27" s="116">
        <v>11062.878475735681</v>
      </c>
      <c r="M27" s="116">
        <v>5974.830034816292</v>
      </c>
      <c r="N27" s="116">
        <v>11439.080601626016</v>
      </c>
      <c r="O27" s="116">
        <v>6638.3495646124074</v>
      </c>
      <c r="P27" s="6">
        <f t="shared" si="2"/>
        <v>75770.205895389445</v>
      </c>
      <c r="Q27" s="6"/>
      <c r="R27" s="224"/>
    </row>
    <row r="28" spans="1:18">
      <c r="A28" s="4">
        <f t="shared" si="1"/>
        <v>15</v>
      </c>
      <c r="B28" s="144">
        <v>8740</v>
      </c>
      <c r="C28" s="6" t="s">
        <v>296</v>
      </c>
      <c r="D28" s="214">
        <v>7666.4500000000007</v>
      </c>
      <c r="E28" s="214">
        <v>12004.859999999999</v>
      </c>
      <c r="F28" s="214">
        <v>4450.4000000000005</v>
      </c>
      <c r="G28" s="214">
        <v>5701.5299999999979</v>
      </c>
      <c r="H28" s="214">
        <v>11810.709999999997</v>
      </c>
      <c r="I28" s="214">
        <v>9252.1499999999978</v>
      </c>
      <c r="J28" s="116">
        <v>622.16978309193507</v>
      </c>
      <c r="K28" s="116">
        <v>186.08280391789407</v>
      </c>
      <c r="L28" s="116">
        <v>506.69603624273037</v>
      </c>
      <c r="M28" s="116">
        <v>141.3501852521016</v>
      </c>
      <c r="N28" s="116">
        <v>1758.2683722417257</v>
      </c>
      <c r="O28" s="116">
        <v>452.12725049548129</v>
      </c>
      <c r="P28" s="6">
        <f t="shared" si="2"/>
        <v>54552.794431241862</v>
      </c>
      <c r="Q28" s="6"/>
      <c r="R28" s="224"/>
    </row>
    <row r="29" spans="1:18">
      <c r="A29" s="4">
        <f t="shared" si="1"/>
        <v>16</v>
      </c>
      <c r="B29" s="144">
        <v>8750</v>
      </c>
      <c r="C29" s="6" t="s">
        <v>297</v>
      </c>
      <c r="D29" s="214">
        <v>270.56</v>
      </c>
      <c r="E29" s="214">
        <v>517</v>
      </c>
      <c r="F29" s="214">
        <v>1497.26</v>
      </c>
      <c r="G29" s="214">
        <v>2584.36</v>
      </c>
      <c r="H29" s="214">
        <v>292.10000000000002</v>
      </c>
      <c r="I29" s="214">
        <v>6783.24</v>
      </c>
      <c r="J29" s="116">
        <v>11519.457437557836</v>
      </c>
      <c r="K29" s="116">
        <v>10343.893971034831</v>
      </c>
      <c r="L29" s="116">
        <v>12955.74727096441</v>
      </c>
      <c r="M29" s="116">
        <v>10927.545929181664</v>
      </c>
      <c r="N29" s="116">
        <v>13162.272750333235</v>
      </c>
      <c r="O29" s="116">
        <v>10985.741271633295</v>
      </c>
      <c r="P29" s="6">
        <f t="shared" si="2"/>
        <v>81839.178630705268</v>
      </c>
      <c r="Q29" s="6"/>
      <c r="R29" s="224"/>
    </row>
    <row r="30" spans="1:18">
      <c r="A30" s="4">
        <f t="shared" si="1"/>
        <v>17</v>
      </c>
      <c r="B30" s="144">
        <v>8760</v>
      </c>
      <c r="C30" t="s">
        <v>298</v>
      </c>
      <c r="D30" s="214">
        <v>0</v>
      </c>
      <c r="E30" s="214">
        <v>0</v>
      </c>
      <c r="F30" s="214">
        <v>0</v>
      </c>
      <c r="G30" s="214">
        <v>720</v>
      </c>
      <c r="H30" s="214">
        <v>0</v>
      </c>
      <c r="I30" s="214">
        <v>0</v>
      </c>
      <c r="J30" s="116">
        <v>175.27542491175089</v>
      </c>
      <c r="K30" s="116">
        <v>103.45459768520762</v>
      </c>
      <c r="L30" s="116">
        <v>271.77003079715081</v>
      </c>
      <c r="M30" s="116">
        <v>146.77732799209693</v>
      </c>
      <c r="N30" s="116">
        <v>281.01179039556047</v>
      </c>
      <c r="O30" s="116">
        <v>163.07731026549072</v>
      </c>
      <c r="P30" s="6">
        <f t="shared" si="2"/>
        <v>1861.3664820472573</v>
      </c>
      <c r="Q30" s="6"/>
      <c r="R30" s="224"/>
    </row>
    <row r="31" spans="1:18">
      <c r="A31" s="4">
        <f t="shared" si="1"/>
        <v>18</v>
      </c>
      <c r="B31" s="144">
        <v>8770</v>
      </c>
      <c r="C31" s="6" t="s">
        <v>299</v>
      </c>
      <c r="D31" s="214">
        <v>572.4</v>
      </c>
      <c r="E31" s="214">
        <v>15.5</v>
      </c>
      <c r="F31" s="214">
        <v>15</v>
      </c>
      <c r="G31" s="214">
        <v>3590.5</v>
      </c>
      <c r="H31" s="214">
        <v>0</v>
      </c>
      <c r="I31" s="214">
        <v>0</v>
      </c>
      <c r="J31" s="116">
        <v>931.83404808620855</v>
      </c>
      <c r="K31" s="116">
        <v>803.21184313128913</v>
      </c>
      <c r="L31" s="116">
        <v>911.71110018709828</v>
      </c>
      <c r="M31" s="116">
        <v>868.76372149375891</v>
      </c>
      <c r="N31" s="116">
        <v>971.89744986463938</v>
      </c>
      <c r="O31" s="116">
        <v>893.951716412049</v>
      </c>
      <c r="P31" s="6">
        <f t="shared" si="2"/>
        <v>9574.7698791750427</v>
      </c>
      <c r="Q31" s="6"/>
      <c r="R31" s="224"/>
    </row>
    <row r="32" spans="1:18">
      <c r="A32" s="4">
        <f t="shared" si="1"/>
        <v>19</v>
      </c>
      <c r="B32" s="144">
        <v>8800</v>
      </c>
      <c r="C32" s="6" t="s">
        <v>302</v>
      </c>
      <c r="D32" s="214">
        <v>0</v>
      </c>
      <c r="E32" s="214">
        <v>0</v>
      </c>
      <c r="F32" s="214">
        <v>503.71000000000004</v>
      </c>
      <c r="G32" s="214">
        <v>0</v>
      </c>
      <c r="H32" s="214">
        <v>0</v>
      </c>
      <c r="I32" s="214">
        <v>0</v>
      </c>
      <c r="J32" s="116">
        <v>119.98222151656657</v>
      </c>
      <c r="K32" s="116">
        <v>105.86530967153556</v>
      </c>
      <c r="L32" s="116">
        <v>171.68814656514871</v>
      </c>
      <c r="M32" s="116">
        <v>95.416527945257712</v>
      </c>
      <c r="N32" s="116">
        <v>118.00720025284338</v>
      </c>
      <c r="O32" s="116">
        <v>87.317310778426901</v>
      </c>
      <c r="P32" s="6">
        <f t="shared" si="2"/>
        <v>1201.9867167297789</v>
      </c>
      <c r="Q32" s="6"/>
      <c r="R32" s="224"/>
    </row>
    <row r="33" spans="1:18">
      <c r="A33" s="4">
        <f t="shared" si="1"/>
        <v>20</v>
      </c>
      <c r="B33" s="144">
        <v>8810</v>
      </c>
      <c r="C33" s="6" t="s">
        <v>303</v>
      </c>
      <c r="D33" s="214">
        <v>25712.25</v>
      </c>
      <c r="E33" s="214">
        <v>27867.590000000004</v>
      </c>
      <c r="F33" s="214">
        <v>22685.14</v>
      </c>
      <c r="G33" s="214">
        <v>24792.54</v>
      </c>
      <c r="H33" s="214">
        <v>23789.679999999993</v>
      </c>
      <c r="I33" s="214">
        <v>25854.180000000008</v>
      </c>
      <c r="J33" s="116">
        <v>24230.405967051531</v>
      </c>
      <c r="K33" s="116">
        <v>25256.452934959845</v>
      </c>
      <c r="L33" s="116">
        <v>25540.143135238384</v>
      </c>
      <c r="M33" s="116">
        <v>27625.649472421137</v>
      </c>
      <c r="N33" s="116">
        <v>29257.081104653567</v>
      </c>
      <c r="O33" s="116">
        <v>29924.988362966993</v>
      </c>
      <c r="P33" s="6">
        <f t="shared" si="2"/>
        <v>312536.10097729141</v>
      </c>
      <c r="Q33" s="6"/>
      <c r="R33" s="224"/>
    </row>
    <row r="34" spans="1:18">
      <c r="A34" s="4">
        <f t="shared" si="1"/>
        <v>21</v>
      </c>
      <c r="B34" s="144">
        <v>9010</v>
      </c>
      <c r="C34" t="s">
        <v>339</v>
      </c>
      <c r="D34" s="214">
        <v>0</v>
      </c>
      <c r="E34" s="214">
        <v>0</v>
      </c>
      <c r="F34" s="214">
        <v>5000</v>
      </c>
      <c r="G34" s="214">
        <v>0</v>
      </c>
      <c r="H34" s="214">
        <v>0</v>
      </c>
      <c r="I34" s="214">
        <v>0</v>
      </c>
      <c r="J34" s="116">
        <v>1454.2343243365067</v>
      </c>
      <c r="K34" s="116">
        <v>693.73047083823781</v>
      </c>
      <c r="L34" s="116">
        <v>1508.435452625813</v>
      </c>
      <c r="M34" s="116">
        <v>657.67943269280556</v>
      </c>
      <c r="N34" s="116">
        <v>2238.760859782531</v>
      </c>
      <c r="O34" s="116">
        <v>3439.51083849305</v>
      </c>
      <c r="P34" s="6">
        <f t="shared" si="2"/>
        <v>14992.351378768943</v>
      </c>
      <c r="Q34" s="6"/>
      <c r="R34" s="224"/>
    </row>
    <row r="35" spans="1:18">
      <c r="A35" s="4">
        <f t="shared" si="1"/>
        <v>22</v>
      </c>
      <c r="B35" s="144">
        <v>9030</v>
      </c>
      <c r="C35" s="6" t="s">
        <v>314</v>
      </c>
      <c r="D35" s="214">
        <v>261150.09999999998</v>
      </c>
      <c r="E35" s="214">
        <v>262590.69</v>
      </c>
      <c r="F35" s="214">
        <v>235445.98</v>
      </c>
      <c r="G35" s="214">
        <v>239238.05000000002</v>
      </c>
      <c r="H35" s="214">
        <v>222692.06</v>
      </c>
      <c r="I35" s="214">
        <v>220918.12</v>
      </c>
      <c r="J35" s="116">
        <v>314343.05825612717</v>
      </c>
      <c r="K35" s="116">
        <v>288462.75780198793</v>
      </c>
      <c r="L35" s="116">
        <v>274148.50667064369</v>
      </c>
      <c r="M35" s="116">
        <v>299979.43386213487</v>
      </c>
      <c r="N35" s="116">
        <v>293961.31332805741</v>
      </c>
      <c r="O35" s="116">
        <v>302813.92033512215</v>
      </c>
      <c r="P35" s="6">
        <f t="shared" si="2"/>
        <v>3215743.9902540734</v>
      </c>
      <c r="Q35" s="6"/>
      <c r="R35" s="224"/>
    </row>
    <row r="36" spans="1:18">
      <c r="A36" s="4">
        <f t="shared" si="1"/>
        <v>23</v>
      </c>
      <c r="B36" s="144">
        <v>9100</v>
      </c>
      <c r="C36" s="6" t="s">
        <v>317</v>
      </c>
      <c r="D36" s="214">
        <v>80.69</v>
      </c>
      <c r="E36" s="214">
        <v>6.83</v>
      </c>
      <c r="F36" s="214">
        <v>0</v>
      </c>
      <c r="G36" s="214">
        <v>0</v>
      </c>
      <c r="H36" s="214">
        <v>61.29</v>
      </c>
      <c r="I36" s="214">
        <v>72.63</v>
      </c>
      <c r="J36" s="116">
        <v>64.405129756215203</v>
      </c>
      <c r="K36" s="116">
        <v>30.723935092483874</v>
      </c>
      <c r="L36" s="116">
        <v>66.805589325892001</v>
      </c>
      <c r="M36" s="116">
        <v>29.127306715098971</v>
      </c>
      <c r="N36" s="116">
        <v>99.150240958048727</v>
      </c>
      <c r="O36" s="116">
        <v>152.32905601518019</v>
      </c>
      <c r="P36" s="6">
        <f t="shared" si="2"/>
        <v>663.98125786291905</v>
      </c>
      <c r="Q36" s="6"/>
      <c r="R36" s="224"/>
    </row>
    <row r="37" spans="1:18">
      <c r="A37" s="4">
        <f t="shared" si="1"/>
        <v>24</v>
      </c>
      <c r="B37" s="144">
        <v>9110</v>
      </c>
      <c r="C37" s="6" t="s">
        <v>318</v>
      </c>
      <c r="D37" s="214">
        <v>8143.9500000000007</v>
      </c>
      <c r="E37" s="214">
        <v>11938.72</v>
      </c>
      <c r="F37" s="214">
        <v>8546.0499999999993</v>
      </c>
      <c r="G37" s="214">
        <v>15853.81</v>
      </c>
      <c r="H37" s="214">
        <v>9151.119999999999</v>
      </c>
      <c r="I37" s="214">
        <v>9859.86</v>
      </c>
      <c r="J37" s="116">
        <v>13670.830328662136</v>
      </c>
      <c r="K37" s="116">
        <v>13022.559284605268</v>
      </c>
      <c r="L37" s="116">
        <v>14699.802734631512</v>
      </c>
      <c r="M37" s="116">
        <v>13127.955055746314</v>
      </c>
      <c r="N37" s="116">
        <v>12988.494378943051</v>
      </c>
      <c r="O37" s="116">
        <v>11999.957307701816</v>
      </c>
      <c r="P37" s="6">
        <f t="shared" si="2"/>
        <v>143003.10909029009</v>
      </c>
      <c r="Q37" s="6"/>
      <c r="R37" s="224"/>
    </row>
    <row r="38" spans="1:18">
      <c r="A38" s="4">
        <f t="shared" si="1"/>
        <v>25</v>
      </c>
      <c r="B38" s="144">
        <v>9120</v>
      </c>
      <c r="C38" s="6" t="s">
        <v>319</v>
      </c>
      <c r="D38" s="214">
        <v>138.62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116">
        <v>40.31719240790531</v>
      </c>
      <c r="K38" s="116">
        <v>19.232983573519306</v>
      </c>
      <c r="L38" s="116">
        <v>41.819864488598043</v>
      </c>
      <c r="M38" s="116">
        <v>18.23350459197534</v>
      </c>
      <c r="N38" s="116">
        <v>62.067406076610887</v>
      </c>
      <c r="O38" s="116">
        <v>95.356998486381315</v>
      </c>
      <c r="P38" s="6">
        <f t="shared" si="2"/>
        <v>415.64794962499025</v>
      </c>
      <c r="Q38" s="6"/>
      <c r="R38" s="224"/>
    </row>
    <row r="39" spans="1:18">
      <c r="A39" s="4">
        <f t="shared" si="1"/>
        <v>26</v>
      </c>
      <c r="B39" s="144">
        <v>9130</v>
      </c>
      <c r="C39" s="6" t="s">
        <v>320</v>
      </c>
      <c r="D39" s="214">
        <v>0</v>
      </c>
      <c r="E39" s="214">
        <v>0</v>
      </c>
      <c r="F39" s="214">
        <v>2321.0499999999997</v>
      </c>
      <c r="G39" s="214">
        <v>149.52000000000001</v>
      </c>
      <c r="H39" s="214">
        <v>0</v>
      </c>
      <c r="I39" s="214">
        <v>0</v>
      </c>
      <c r="J39" s="116">
        <v>718.55753893520853</v>
      </c>
      <c r="K39" s="116">
        <v>342.78193786776501</v>
      </c>
      <c r="L39" s="116">
        <v>745.33907523875087</v>
      </c>
      <c r="M39" s="116">
        <v>324.96861520557286</v>
      </c>
      <c r="N39" s="116">
        <v>1106.2030834705852</v>
      </c>
      <c r="O39" s="116">
        <v>1699.5104584511546</v>
      </c>
      <c r="P39" s="6">
        <f t="shared" si="2"/>
        <v>7407.9307091690362</v>
      </c>
      <c r="Q39" s="6"/>
      <c r="R39" s="224"/>
    </row>
    <row r="40" spans="1:18">
      <c r="A40" s="4">
        <f t="shared" si="1"/>
        <v>27</v>
      </c>
      <c r="B40" s="144">
        <v>9200</v>
      </c>
      <c r="C40" s="6" t="s">
        <v>321</v>
      </c>
      <c r="D40" s="214">
        <v>-4567.08</v>
      </c>
      <c r="E40" s="214">
        <v>-4656.62</v>
      </c>
      <c r="F40" s="214">
        <v>-5150.38</v>
      </c>
      <c r="G40" s="214">
        <v>-4164.2</v>
      </c>
      <c r="H40" s="214">
        <v>-4788.71</v>
      </c>
      <c r="I40" s="214">
        <v>-3965.03</v>
      </c>
      <c r="J40" s="116">
        <v>-283.95160440359831</v>
      </c>
      <c r="K40" s="116">
        <v>-4687.5100222886695</v>
      </c>
      <c r="L40" s="116">
        <v>6168.4446094830464</v>
      </c>
      <c r="M40" s="116">
        <v>2090.3916893289288</v>
      </c>
      <c r="N40" s="116">
        <v>-9840.1927948807952</v>
      </c>
      <c r="O40" s="116">
        <v>201.99809256353538</v>
      </c>
      <c r="P40" s="6">
        <f t="shared" si="2"/>
        <v>-33642.840030197556</v>
      </c>
      <c r="Q40" s="6"/>
      <c r="R40" s="224"/>
    </row>
    <row r="41" spans="1:18">
      <c r="A41" s="4">
        <f t="shared" si="1"/>
        <v>28</v>
      </c>
      <c r="B41" s="144">
        <v>9210</v>
      </c>
      <c r="C41" s="6" t="s">
        <v>322</v>
      </c>
      <c r="D41" s="214">
        <v>0</v>
      </c>
      <c r="E41" s="214">
        <v>579.5200000000001</v>
      </c>
      <c r="F41" s="214">
        <v>358</v>
      </c>
      <c r="G41" s="214">
        <v>46.04</v>
      </c>
      <c r="H41" s="214">
        <v>2250</v>
      </c>
      <c r="I41" s="214">
        <v>-1.04</v>
      </c>
      <c r="J41" s="116">
        <v>729.83285910272127</v>
      </c>
      <c r="K41" s="116">
        <v>652.13282996501925</v>
      </c>
      <c r="L41" s="116">
        <v>749.66413721502727</v>
      </c>
      <c r="M41" s="116">
        <v>650.33386263195234</v>
      </c>
      <c r="N41" s="116">
        <v>695.48782963388658</v>
      </c>
      <c r="O41" s="116">
        <v>643.74142306234444</v>
      </c>
      <c r="P41" s="6">
        <f t="shared" si="2"/>
        <v>7353.7129416109501</v>
      </c>
      <c r="Q41" s="6"/>
      <c r="R41" s="6"/>
    </row>
    <row r="42" spans="1:18">
      <c r="A42" s="4">
        <f t="shared" si="1"/>
        <v>29</v>
      </c>
      <c r="B42" s="144">
        <v>9220</v>
      </c>
      <c r="C42" s="6" t="s">
        <v>323</v>
      </c>
      <c r="D42" s="214">
        <v>-755677.71999999962</v>
      </c>
      <c r="E42" s="214">
        <v>-785580.09999999974</v>
      </c>
      <c r="F42" s="214">
        <v>-919770.84000000008</v>
      </c>
      <c r="G42" s="214">
        <v>-721489.99999999977</v>
      </c>
      <c r="H42" s="214">
        <v>-1326376.6400000004</v>
      </c>
      <c r="I42" s="214">
        <v>-697810.12999999977</v>
      </c>
      <c r="J42" s="116">
        <f t="shared" ref="J42:O42" si="3">-(SUM(J14:J41,J43:J48))</f>
        <v>-1017790.1900000002</v>
      </c>
      <c r="K42" s="116">
        <f t="shared" si="3"/>
        <v>-916521.27595000016</v>
      </c>
      <c r="L42" s="116">
        <f t="shared" si="3"/>
        <v>-1002397.8340699999</v>
      </c>
      <c r="M42" s="116">
        <f t="shared" si="3"/>
        <v>-1010687.7516400003</v>
      </c>
      <c r="N42" s="116">
        <f t="shared" si="3"/>
        <v>-1017875.4980199998</v>
      </c>
      <c r="O42" s="116">
        <f t="shared" si="3"/>
        <v>-1026475.31204</v>
      </c>
      <c r="P42" s="6">
        <f t="shared" si="2"/>
        <v>-11198453.291720001</v>
      </c>
      <c r="Q42" s="79"/>
      <c r="R42" s="6"/>
    </row>
    <row r="43" spans="1:18">
      <c r="A43" s="4">
        <f t="shared" si="1"/>
        <v>30</v>
      </c>
      <c r="B43" s="144">
        <v>9230</v>
      </c>
      <c r="C43" s="6" t="s">
        <v>324</v>
      </c>
      <c r="D43" s="214">
        <v>22567.24</v>
      </c>
      <c r="E43" s="214">
        <v>12254.419999999998</v>
      </c>
      <c r="F43" s="214">
        <v>15853.769999999999</v>
      </c>
      <c r="G43" s="214">
        <v>9835.6299999999992</v>
      </c>
      <c r="H43" s="214">
        <v>0</v>
      </c>
      <c r="I43" s="214">
        <v>16709.309999999998</v>
      </c>
      <c r="J43" s="116">
        <v>16875.986616682592</v>
      </c>
      <c r="K43" s="116">
        <v>15430.160048711428</v>
      </c>
      <c r="L43" s="116">
        <v>14651.152353422915</v>
      </c>
      <c r="M43" s="116">
        <v>16042.360262033562</v>
      </c>
      <c r="N43" s="116">
        <v>15779.729789946392</v>
      </c>
      <c r="O43" s="116">
        <v>16284.024839064059</v>
      </c>
      <c r="P43" s="6">
        <f t="shared" si="2"/>
        <v>172283.78390986097</v>
      </c>
      <c r="Q43" s="6"/>
      <c r="R43" s="6"/>
    </row>
    <row r="44" spans="1:18">
      <c r="A44" s="4">
        <f t="shared" si="1"/>
        <v>31</v>
      </c>
      <c r="B44" s="144">
        <v>9240</v>
      </c>
      <c r="C44" s="6" t="s">
        <v>325</v>
      </c>
      <c r="D44" s="214">
        <v>-668.09000000000015</v>
      </c>
      <c r="E44" s="214">
        <v>-827.91000000000008</v>
      </c>
      <c r="F44" s="214">
        <v>-800.05</v>
      </c>
      <c r="G44" s="214">
        <v>-873.82999999999993</v>
      </c>
      <c r="H44" s="214">
        <v>-836.98</v>
      </c>
      <c r="I44" s="214">
        <v>-886.79</v>
      </c>
      <c r="J44" s="116">
        <v>-9034.7089966792264</v>
      </c>
      <c r="K44" s="116">
        <v>-6911.2243741196362</v>
      </c>
      <c r="L44" s="116">
        <v>-7030.016583731237</v>
      </c>
      <c r="M44" s="116">
        <v>-6899.7982577722532</v>
      </c>
      <c r="N44" s="116">
        <v>-6999.0872687909032</v>
      </c>
      <c r="O44" s="116">
        <v>-7021.7424994796829</v>
      </c>
      <c r="P44" s="6">
        <f t="shared" si="2"/>
        <v>-48790.227980572941</v>
      </c>
      <c r="Q44" s="6"/>
      <c r="R44" s="6"/>
    </row>
    <row r="45" spans="1:18">
      <c r="A45" s="4">
        <f t="shared" si="1"/>
        <v>32</v>
      </c>
      <c r="B45" s="144">
        <v>9250</v>
      </c>
      <c r="C45" s="6" t="s">
        <v>326</v>
      </c>
      <c r="D45" s="214">
        <v>25270.67</v>
      </c>
      <c r="E45" s="214">
        <v>14117.62</v>
      </c>
      <c r="F45" s="214">
        <v>24049.98</v>
      </c>
      <c r="G45" s="214">
        <v>23671.69</v>
      </c>
      <c r="H45" s="214">
        <v>23973.800000000003</v>
      </c>
      <c r="I45" s="214">
        <v>72437.69</v>
      </c>
      <c r="J45" s="116">
        <v>69118.86138759664</v>
      </c>
      <c r="K45" s="116">
        <v>57886.239977794605</v>
      </c>
      <c r="L45" s="116">
        <v>56709.994827744944</v>
      </c>
      <c r="M45" s="116">
        <v>59314.163914020392</v>
      </c>
      <c r="N45" s="116">
        <v>56639.380554347248</v>
      </c>
      <c r="O45" s="116">
        <v>56691.125887914241</v>
      </c>
      <c r="P45" s="6">
        <f t="shared" si="2"/>
        <v>539881.21654941805</v>
      </c>
      <c r="Q45" s="6"/>
      <c r="R45" s="6"/>
    </row>
    <row r="46" spans="1:18">
      <c r="A46" s="4">
        <f t="shared" si="1"/>
        <v>33</v>
      </c>
      <c r="B46" s="256">
        <v>9260</v>
      </c>
      <c r="C46" s="6" t="s">
        <v>327</v>
      </c>
      <c r="D46" s="214">
        <v>113470.74999999996</v>
      </c>
      <c r="E46" s="214">
        <v>149784.31999999998</v>
      </c>
      <c r="F46" s="214">
        <v>293007.1499999995</v>
      </c>
      <c r="G46" s="214">
        <v>137531.18000000014</v>
      </c>
      <c r="H46" s="214">
        <v>709528.64</v>
      </c>
      <c r="I46" s="214">
        <v>81144.219999999987</v>
      </c>
      <c r="J46" s="116">
        <v>141759.23581915745</v>
      </c>
      <c r="K46" s="116">
        <v>149339.82045462413</v>
      </c>
      <c r="L46" s="116">
        <v>167812.05951962198</v>
      </c>
      <c r="M46" s="116">
        <v>178522.26228787206</v>
      </c>
      <c r="N46" s="116">
        <v>183552.37270742506</v>
      </c>
      <c r="O46" s="116">
        <v>172358.82403770534</v>
      </c>
      <c r="P46" s="6">
        <f t="shared" si="2"/>
        <v>2477810.8348264056</v>
      </c>
      <c r="Q46" s="6"/>
      <c r="R46" s="6"/>
    </row>
    <row r="47" spans="1:18">
      <c r="A47" s="4">
        <f t="shared" si="1"/>
        <v>34</v>
      </c>
      <c r="B47" s="144">
        <v>9302</v>
      </c>
      <c r="C47" s="6" t="s">
        <v>330</v>
      </c>
      <c r="D47" s="214">
        <v>7323.2</v>
      </c>
      <c r="E47" s="214">
        <v>7243.6</v>
      </c>
      <c r="F47" s="214">
        <v>15963.6</v>
      </c>
      <c r="G47" s="214">
        <v>7243.6</v>
      </c>
      <c r="H47" s="214">
        <v>7243.6</v>
      </c>
      <c r="I47" s="214">
        <v>7243.6</v>
      </c>
      <c r="J47" s="116">
        <v>14743.463191357721</v>
      </c>
      <c r="K47" s="116">
        <v>11737.433062865735</v>
      </c>
      <c r="L47" s="116">
        <v>12127.970059160927</v>
      </c>
      <c r="M47" s="116">
        <v>19055.595601028941</v>
      </c>
      <c r="N47" s="116">
        <v>6224.086290409844</v>
      </c>
      <c r="O47" s="116">
        <v>8793.8826905976894</v>
      </c>
      <c r="P47" s="6">
        <f t="shared" si="2"/>
        <v>124943.63089542085</v>
      </c>
      <c r="Q47" s="6"/>
      <c r="R47" s="6"/>
    </row>
    <row r="48" spans="1:18">
      <c r="A48" s="4">
        <f t="shared" si="1"/>
        <v>35</v>
      </c>
      <c r="B48" s="144">
        <v>9310</v>
      </c>
      <c r="C48" s="6" t="s">
        <v>209</v>
      </c>
      <c r="D48" s="214">
        <v>12.38</v>
      </c>
      <c r="E48" s="214">
        <v>5.0599999999999996</v>
      </c>
      <c r="F48" s="214">
        <v>5.0599999999999996</v>
      </c>
      <c r="G48" s="214">
        <v>5.44</v>
      </c>
      <c r="H48" s="214">
        <v>5.44</v>
      </c>
      <c r="I48" s="214">
        <v>5.0999999999999996</v>
      </c>
      <c r="J48" s="116">
        <v>6.1869773296843249</v>
      </c>
      <c r="K48" s="116">
        <v>6.4489675471933596</v>
      </c>
      <c r="L48" s="116">
        <v>6.5214048328155494</v>
      </c>
      <c r="M48" s="116">
        <v>7.0539167703624557</v>
      </c>
      <c r="N48" s="116">
        <v>7.4704855450366079</v>
      </c>
      <c r="O48" s="116">
        <v>7.6410285838588194</v>
      </c>
      <c r="P48" s="6">
        <f t="shared" si="2"/>
        <v>79.802780608951139</v>
      </c>
      <c r="Q48" s="6"/>
      <c r="R48" s="6"/>
    </row>
    <row r="49" spans="1:18">
      <c r="A49" s="4">
        <f t="shared" si="1"/>
        <v>36</v>
      </c>
      <c r="B49" s="6"/>
      <c r="C49" s="242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5"/>
      <c r="P49" s="6"/>
      <c r="Q49" s="6"/>
      <c r="R49" s="6"/>
    </row>
    <row r="50" spans="1:18" ht="15.75" thickBot="1">
      <c r="A50" s="4">
        <f t="shared" si="1"/>
        <v>37</v>
      </c>
      <c r="B50" s="6" t="s">
        <v>332</v>
      </c>
      <c r="C50" s="242"/>
      <c r="D50" s="250">
        <f t="shared" ref="D50:O50" si="4">SUM(D14:D49)</f>
        <v>3.9097436399515573E-10</v>
      </c>
      <c r="E50" s="250">
        <f t="shared" si="4"/>
        <v>2.0000000219224212E-2</v>
      </c>
      <c r="F50" s="250">
        <f t="shared" si="4"/>
        <v>-2.0000000749351265E-2</v>
      </c>
      <c r="G50" s="250">
        <f t="shared" si="4"/>
        <v>4.2877257300233396E-10</v>
      </c>
      <c r="H50" s="250">
        <f t="shared" si="4"/>
        <v>1.9999999981737737E-2</v>
      </c>
      <c r="I50" s="250">
        <f t="shared" si="4"/>
        <v>3.8162362159255281E-10</v>
      </c>
      <c r="J50" s="250">
        <f t="shared" si="4"/>
        <v>-7.7832851275161374E-11</v>
      </c>
      <c r="K50" s="250">
        <f t="shared" si="4"/>
        <v>5.3813842271210888E-11</v>
      </c>
      <c r="L50" s="250">
        <f t="shared" si="4"/>
        <v>-2.0647483722768811E-11</v>
      </c>
      <c r="M50" s="250">
        <f t="shared" si="4"/>
        <v>-4.5794479319738457E-11</v>
      </c>
      <c r="N50" s="250">
        <f t="shared" si="4"/>
        <v>1.5395862362765911E-10</v>
      </c>
      <c r="O50" s="250">
        <f t="shared" si="4"/>
        <v>8.6899376583460253E-12</v>
      </c>
      <c r="P50" s="230">
        <f>SUM(P12:P49)</f>
        <v>6045743.919999999</v>
      </c>
      <c r="Q50" s="6"/>
      <c r="R50" s="6"/>
    </row>
    <row r="51" spans="1:18" ht="15.75" thickTop="1">
      <c r="A51" s="4">
        <f t="shared" si="1"/>
        <v>38</v>
      </c>
      <c r="B51" s="6"/>
      <c r="C51" s="24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  <c r="R51" s="6"/>
    </row>
    <row r="52" spans="1:18">
      <c r="A52" s="4">
        <f t="shared" si="1"/>
        <v>39</v>
      </c>
      <c r="B52" s="144">
        <f>B42</f>
        <v>9220</v>
      </c>
      <c r="C52" s="44" t="str">
        <f>C42</f>
        <v>A&amp;G-Administrative expense transferred-Credit</v>
      </c>
      <c r="D52" s="243">
        <f t="shared" ref="D52:K52" si="5">-(D50-D42)</f>
        <v>-755677.72</v>
      </c>
      <c r="E52" s="243">
        <f t="shared" si="5"/>
        <v>-785580.12</v>
      </c>
      <c r="F52" s="243">
        <f t="shared" si="5"/>
        <v>-919770.81999999937</v>
      </c>
      <c r="G52" s="243">
        <f t="shared" si="5"/>
        <v>-721490.00000000023</v>
      </c>
      <c r="H52" s="243">
        <f t="shared" si="5"/>
        <v>-1326376.6600000004</v>
      </c>
      <c r="I52" s="243">
        <f t="shared" si="5"/>
        <v>-697810.13000000012</v>
      </c>
      <c r="J52" s="243">
        <f t="shared" si="5"/>
        <v>-1017790.1900000001</v>
      </c>
      <c r="K52" s="243">
        <f t="shared" si="5"/>
        <v>-916521.27595000016</v>
      </c>
      <c r="L52" s="39">
        <f>L42</f>
        <v>-1002397.8340699999</v>
      </c>
      <c r="M52" s="39">
        <f>M42</f>
        <v>-1010687.7516400003</v>
      </c>
      <c r="N52" s="39">
        <f>N42</f>
        <v>-1017875.4980199998</v>
      </c>
      <c r="O52" s="39">
        <f>O42</f>
        <v>-1026475.31204</v>
      </c>
      <c r="P52" s="6">
        <f t="shared" ref="P52" si="6">SUM(D52:O52)</f>
        <v>-11198453.311720001</v>
      </c>
      <c r="Q52" s="6"/>
      <c r="R52" s="6"/>
    </row>
    <row r="53" spans="1:18">
      <c r="A53" s="4">
        <f t="shared" si="1"/>
        <v>40</v>
      </c>
      <c r="B53" s="6"/>
      <c r="C53" s="244" t="s">
        <v>341</v>
      </c>
      <c r="D53" s="245">
        <f>D54/D52</f>
        <v>0.49099999931187599</v>
      </c>
      <c r="E53" s="245">
        <f t="shared" ref="E53:I53" si="7">E54/E52</f>
        <v>0.4909999886453339</v>
      </c>
      <c r="F53" s="245">
        <f t="shared" si="7"/>
        <v>0.49099999715146464</v>
      </c>
      <c r="G53" s="245">
        <f t="shared" si="7"/>
        <v>0.49099999999999988</v>
      </c>
      <c r="H53" s="245">
        <f t="shared" si="7"/>
        <v>0.49099999995476379</v>
      </c>
      <c r="I53" s="245">
        <f t="shared" si="7"/>
        <v>0.49100000884194667</v>
      </c>
      <c r="J53" s="245">
        <v>0.49090457251500325</v>
      </c>
      <c r="K53" s="245">
        <v>0.49090457251500325</v>
      </c>
      <c r="L53" s="245">
        <v>0.49090457251500325</v>
      </c>
      <c r="M53" s="245">
        <v>0.49090457251500325</v>
      </c>
      <c r="N53" s="245">
        <v>0.49090457251500325</v>
      </c>
      <c r="O53" s="245">
        <v>0.49090457251500325</v>
      </c>
      <c r="P53" s="245">
        <f t="shared" ref="P53" si="8">P54/P52</f>
        <v>0.49094894086145091</v>
      </c>
      <c r="Q53" s="6"/>
      <c r="R53" s="6"/>
    </row>
    <row r="54" spans="1:18">
      <c r="A54" s="4">
        <f t="shared" si="1"/>
        <v>41</v>
      </c>
      <c r="B54" s="6"/>
      <c r="C54" s="5" t="s">
        <v>342</v>
      </c>
      <c r="D54" s="5">
        <v>-371037.76</v>
      </c>
      <c r="E54" s="5">
        <v>-385719.83</v>
      </c>
      <c r="F54" s="5">
        <v>-451607.47</v>
      </c>
      <c r="G54" s="5">
        <v>-354251.59</v>
      </c>
      <c r="H54" s="5">
        <v>-651250.93999999994</v>
      </c>
      <c r="I54" s="5">
        <v>-342624.78</v>
      </c>
      <c r="J54" s="5">
        <f t="shared" ref="J54:O54" si="9">J52*J53</f>
        <v>-499637.85813191393</v>
      </c>
      <c r="K54" s="5">
        <f t="shared" si="9"/>
        <v>-449924.48517114017</v>
      </c>
      <c r="L54" s="5">
        <f t="shared" si="9"/>
        <v>-492081.68022409844</v>
      </c>
      <c r="M54" s="5">
        <f t="shared" si="9"/>
        <v>-496151.23866498412</v>
      </c>
      <c r="N54" s="5">
        <f t="shared" si="9"/>
        <v>-499679.73622900405</v>
      </c>
      <c r="O54" s="5">
        <f t="shared" si="9"/>
        <v>-503901.42425420077</v>
      </c>
      <c r="P54" s="6">
        <f>SUM(D54:O54)</f>
        <v>-5497868.7926753415</v>
      </c>
      <c r="Q54" s="6"/>
      <c r="R54" s="6"/>
    </row>
    <row r="55" spans="1:18">
      <c r="A55" s="6"/>
      <c r="B55" s="6"/>
      <c r="C55" s="242"/>
      <c r="D55" s="257"/>
      <c r="E55" s="257"/>
      <c r="F55" s="257"/>
      <c r="G55" s="257"/>
      <c r="H55" s="257"/>
      <c r="I55" s="257"/>
      <c r="J55" s="190"/>
      <c r="K55" s="99"/>
      <c r="L55" s="99"/>
      <c r="M55" s="99"/>
      <c r="N55" s="190"/>
      <c r="O55" s="99"/>
      <c r="P55" s="99"/>
      <c r="Q55" s="6"/>
      <c r="R55" s="6"/>
    </row>
    <row r="56" spans="1:18">
      <c r="A56" s="6"/>
      <c r="B56" s="6"/>
      <c r="C56" s="242"/>
      <c r="D56" s="6"/>
      <c r="E56" s="6"/>
      <c r="F56" s="6"/>
      <c r="G56" s="6"/>
      <c r="H56" s="6"/>
      <c r="I56" s="6"/>
      <c r="J56" s="6"/>
      <c r="K56" s="6"/>
      <c r="L56" s="6"/>
      <c r="M56" s="6"/>
      <c r="N56" s="190"/>
      <c r="O56" s="99"/>
      <c r="P56" s="6"/>
      <c r="Q56" s="6"/>
      <c r="R56" s="6"/>
    </row>
    <row r="57" spans="1:18">
      <c r="A57" s="6"/>
      <c r="B57" s="6" t="s">
        <v>343</v>
      </c>
      <c r="C57" s="242"/>
      <c r="D57" s="6"/>
      <c r="E57" s="6"/>
      <c r="F57" s="6"/>
      <c r="G57" s="6"/>
      <c r="H57" s="6"/>
      <c r="I57" s="6"/>
      <c r="J57" s="6"/>
      <c r="K57" s="6"/>
      <c r="L57" s="6"/>
      <c r="M57" s="6"/>
      <c r="N57" s="190"/>
      <c r="O57" s="99"/>
      <c r="P57" s="6"/>
      <c r="Q57" s="6"/>
      <c r="R57" s="6"/>
    </row>
    <row r="58" spans="1:18">
      <c r="A58" s="6"/>
      <c r="B58" s="6"/>
      <c r="C58" s="242"/>
      <c r="D58" s="6"/>
      <c r="E58" s="6"/>
      <c r="F58" s="6"/>
      <c r="G58" s="6"/>
      <c r="H58" s="6"/>
      <c r="I58" s="6"/>
      <c r="J58" s="6"/>
      <c r="K58" s="6"/>
      <c r="L58" s="6"/>
      <c r="M58" s="6"/>
      <c r="N58" s="190"/>
      <c r="O58" s="99"/>
      <c r="P58" s="6"/>
      <c r="Q58" s="6"/>
      <c r="R58" s="6"/>
    </row>
    <row r="59" spans="1:1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90"/>
      <c r="O59" s="99"/>
      <c r="P59" s="6"/>
      <c r="Q59" s="6"/>
      <c r="R59" s="6"/>
    </row>
    <row r="60" spans="1:18">
      <c r="A60" s="6"/>
      <c r="B60" s="6" t="s">
        <v>335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90"/>
      <c r="O60" s="99"/>
      <c r="P60" s="6"/>
      <c r="Q60" s="6"/>
      <c r="R60" s="6"/>
    </row>
    <row r="61" spans="1:18">
      <c r="A61" s="6"/>
      <c r="B61" s="6" t="s">
        <v>351</v>
      </c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190"/>
      <c r="O61" s="99"/>
      <c r="P61" s="6"/>
      <c r="Q61" s="168"/>
      <c r="R61" s="6"/>
    </row>
    <row r="62" spans="1:18">
      <c r="A62" s="6"/>
      <c r="B62" s="6" t="s">
        <v>347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90"/>
      <c r="O62" s="99"/>
      <c r="P62" s="6"/>
      <c r="Q62" s="6"/>
      <c r="R62" s="6"/>
    </row>
    <row r="63" spans="1:1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0"/>
      <c r="O63" s="99"/>
      <c r="P63" s="6"/>
      <c r="Q63" s="6"/>
      <c r="R63" s="6"/>
    </row>
    <row r="64" spans="1:1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0"/>
      <c r="O64" s="99"/>
      <c r="P64" s="6"/>
      <c r="Q64" s="6"/>
      <c r="R64" s="6"/>
    </row>
    <row r="65" spans="1:18">
      <c r="A65" s="6"/>
      <c r="B65" s="6"/>
      <c r="C65" s="79"/>
      <c r="D65" s="6"/>
      <c r="E65" s="6"/>
      <c r="F65" s="6"/>
      <c r="G65" s="6"/>
      <c r="H65" s="6"/>
      <c r="I65" s="6"/>
      <c r="J65" s="6"/>
      <c r="K65" s="6"/>
      <c r="L65" s="6"/>
      <c r="M65" s="6"/>
      <c r="N65" s="190"/>
      <c r="O65" s="99"/>
      <c r="P65" s="6"/>
      <c r="Q65" s="79"/>
      <c r="R65" s="6"/>
    </row>
    <row r="66" spans="1:18">
      <c r="A66" s="6"/>
      <c r="B66" s="6"/>
      <c r="C66" s="6"/>
      <c r="D66" s="6"/>
      <c r="E66" s="5"/>
      <c r="F66" s="5"/>
      <c r="G66" s="5"/>
      <c r="H66" s="5"/>
      <c r="I66" s="5"/>
      <c r="J66" s="5"/>
      <c r="K66" s="5"/>
      <c r="L66" s="6"/>
      <c r="M66" s="6"/>
      <c r="N66" s="5"/>
      <c r="O66" s="12"/>
      <c r="P66" s="5"/>
      <c r="Q66" s="6"/>
      <c r="R66" s="6"/>
    </row>
    <row r="67" spans="1:18">
      <c r="A67" s="6"/>
      <c r="B67" s="6"/>
      <c r="C67" s="6"/>
      <c r="D67" s="6"/>
      <c r="E67" s="6"/>
      <c r="F67" s="6"/>
      <c r="G67" s="6"/>
      <c r="H67" s="6"/>
      <c r="I67" s="5"/>
      <c r="J67" s="5"/>
      <c r="K67" s="5"/>
      <c r="L67" s="6"/>
      <c r="M67" s="6"/>
      <c r="N67" s="5"/>
      <c r="O67" s="195"/>
      <c r="P67" s="5"/>
      <c r="Q67" s="6"/>
      <c r="R67" s="6"/>
    </row>
    <row r="68" spans="1:18">
      <c r="A68" s="6"/>
      <c r="B68" s="6"/>
      <c r="C68" s="6"/>
      <c r="D68" s="6"/>
      <c r="E68" s="6"/>
      <c r="F68" s="6"/>
      <c r="G68" s="6"/>
      <c r="H68" s="6"/>
      <c r="I68" s="5"/>
      <c r="J68" s="5"/>
      <c r="K68" s="5"/>
      <c r="L68" s="6"/>
      <c r="M68" s="6"/>
      <c r="N68" s="5"/>
      <c r="O68" s="195"/>
      <c r="P68" s="5"/>
      <c r="Q68" s="6"/>
      <c r="R68" s="6"/>
    </row>
    <row r="69" spans="1:1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  <c r="O69" s="6"/>
      <c r="P69" s="6"/>
      <c r="Q69" s="6"/>
      <c r="R69" s="6"/>
    </row>
    <row r="70" spans="1:1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/>
      <c r="O70" s="6"/>
      <c r="P70" s="6"/>
      <c r="Q70" s="6"/>
      <c r="R70" s="6"/>
    </row>
    <row r="72" spans="1:18">
      <c r="C72" s="79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49" fitToHeight="2" orientation="landscape" verticalDpi="300" r:id="rId1"/>
  <headerFooter alignWithMargins="0">
    <oddHeader xml:space="preserve">&amp;RCASE NO. 2015-00343
FR_16(8)(c)
ATTACHMENT 1
</oddHeader>
    <oddFooter>&amp;RSchedule &amp;A
Page &amp;P of &amp;N</oddFooter>
  </headerFooter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C'!Print_Area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2015-11-19T03:36:57Z</cp:lastPrinted>
  <dcterms:created xsi:type="dcterms:W3CDTF">2015-11-18T17:04:30Z</dcterms:created>
  <dcterms:modified xsi:type="dcterms:W3CDTF">2015-11-19T03:37:01Z</dcterms:modified>
</cp:coreProperties>
</file>